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31" windowWidth="9015" windowHeight="8610" activeTab="0"/>
  </bookViews>
  <sheets>
    <sheet name="งบทดลอง" sheetId="1" r:id="rId1"/>
    <sheet name="รายงาน รับ-จ่ายเงินสด" sheetId="2" r:id="rId2"/>
    <sheet name="หมายเหตุประกอบงบการเงิน" sheetId="3" r:id="rId3"/>
    <sheet name="รายรับทั้งปี52" sheetId="4" r:id="rId4"/>
    <sheet name="รายรับ" sheetId="5" r:id="rId5"/>
  </sheets>
  <definedNames/>
  <calcPr fullCalcOnLoad="1"/>
</workbook>
</file>

<file path=xl/sharedStrings.xml><?xml version="1.0" encoding="utf-8"?>
<sst xmlns="http://schemas.openxmlformats.org/spreadsheetml/2006/main" count="1674" uniqueCount="259">
  <si>
    <t>องค์การบริหารส่วนตำบลหนองฉิม</t>
  </si>
  <si>
    <t>รายการ</t>
  </si>
  <si>
    <t>รหัสบัญชี</t>
  </si>
  <si>
    <t>เครดิต</t>
  </si>
  <si>
    <t>เงินสด</t>
  </si>
  <si>
    <t>ลูกหนี้เงินยืมสะสม</t>
  </si>
  <si>
    <t>เงินเดือน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</si>
  <si>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</si>
  <si>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</si>
  <si>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</si>
  <si>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</si>
  <si>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</si>
  <si>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</si>
  <si>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</si>
  <si>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</si>
  <si>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</si>
  <si>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</si>
  <si>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สำรองเงินรายรับ</t>
  </si>
  <si>
    <t>รายรับ</t>
  </si>
  <si>
    <t>เงินสะสม</t>
  </si>
  <si>
    <t>010</t>
  </si>
  <si>
    <t>022</t>
  </si>
  <si>
    <t>023</t>
  </si>
  <si>
    <t>704</t>
  </si>
  <si>
    <t>100</t>
  </si>
  <si>
    <t>130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</si>
  <si>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</si>
  <si>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</si>
  <si>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</si>
  <si>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</si>
  <si>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</si>
  <si>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</si>
  <si>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</si>
  <si>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</si>
  <si>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</si>
  <si>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</si>
  <si>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</si>
  <si>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700</t>
  </si>
  <si>
    <t>เดบิท</t>
  </si>
  <si>
    <t>บาท</t>
  </si>
  <si>
    <t>อำเภอเนินสง่า    จังหวัดชัยภูมิ</t>
  </si>
  <si>
    <t>รายงาน รับ  -  จ่าย เงินสด</t>
  </si>
  <si>
    <t>จนถึงปัจจุบัน</t>
  </si>
  <si>
    <t>ประมาณการ</t>
  </si>
  <si>
    <t>เกิดขึ้นจริง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</si>
  <si>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</si>
  <si>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</si>
  <si>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</si>
  <si>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</si>
  <si>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</si>
  <si>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</si>
  <si>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</si>
  <si>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</si>
  <si>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</si>
  <si>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</si>
  <si>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</si>
  <si>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เงินอุดหนุนเฉพาะกิจ</t>
  </si>
  <si>
    <t>0100</t>
  </si>
  <si>
    <t>0120</t>
  </si>
  <si>
    <t>0200</t>
  </si>
  <si>
    <t>0250</t>
  </si>
  <si>
    <t>0300</t>
  </si>
  <si>
    <t>0350</t>
  </si>
  <si>
    <t>1000</t>
  </si>
  <si>
    <t>2000</t>
  </si>
  <si>
    <t>3000</t>
  </si>
  <si>
    <t>รวมรายรับ</t>
  </si>
  <si>
    <t>รายจ่าย</t>
  </si>
  <si>
    <t>เงินอุดหนุนเฉพาะกิจฝากจังหวัด</t>
  </si>
  <si>
    <t>013</t>
  </si>
  <si>
    <t>เงินฝากธนาคาร ธกส. - ออมทรัพย์ (หมายเหตุ 1)</t>
  </si>
  <si>
    <t xml:space="preserve">                                - ประจำ</t>
  </si>
  <si>
    <t>รวมรายจ่าย</t>
  </si>
  <si>
    <t>สูงกว่า</t>
  </si>
  <si>
    <t>รายรับ                               รายจ่าย</t>
  </si>
  <si>
    <t>(ต่ำกว่า)</t>
  </si>
  <si>
    <t>ยอดยกไป</t>
  </si>
  <si>
    <t>1.  ภาษีหัก ณ ที่จ่าย</t>
  </si>
  <si>
    <t>2.  เงินมัดจำประกันสัญญา</t>
  </si>
  <si>
    <t>3.  ค่าใช้จ่ายในการจัดเก็บภาษีบำรุงท้องที่  5%</t>
  </si>
  <si>
    <t>4.  ส่วนลดในการจัดเก็บภาษีบำรุงท้องที่  6%</t>
  </si>
  <si>
    <t>5.  เงินรับฝาก-โครงการเศรษฐกิจชุมชน</t>
  </si>
  <si>
    <t>รวม</t>
  </si>
  <si>
    <t>(ลงชื่อ)……………………………………        (ลงชื่อ)……………………………………        (ลงชื่อ)……………………………………</t>
  </si>
  <si>
    <t>รับ</t>
  </si>
  <si>
    <t>จ่าย</t>
  </si>
  <si>
    <t xml:space="preserve">รายรับ </t>
  </si>
  <si>
    <t>เงินฝากธนาคารกรุงไทย -กระแสรายวัน</t>
  </si>
  <si>
    <t>600</t>
  </si>
  <si>
    <t>021</t>
  </si>
  <si>
    <t xml:space="preserve">งบทดลอง </t>
  </si>
  <si>
    <t>ภาษีหน้าฎีกา</t>
  </si>
  <si>
    <t>999</t>
  </si>
  <si>
    <t>คงเหลือ</t>
  </si>
  <si>
    <t>หมายเหตุประกอบงบการเงิน</t>
  </si>
  <si>
    <t>6000</t>
  </si>
  <si>
    <t>5130</t>
  </si>
  <si>
    <t>6130</t>
  </si>
  <si>
    <t>5270</t>
  </si>
  <si>
    <t>6270</t>
  </si>
  <si>
    <t>5000</t>
  </si>
  <si>
    <t>5400</t>
  </si>
  <si>
    <t>6400</t>
  </si>
  <si>
    <t>5100</t>
  </si>
  <si>
    <t>5200</t>
  </si>
  <si>
    <t>5250</t>
  </si>
  <si>
    <t>5300</t>
  </si>
  <si>
    <t>5450</t>
  </si>
  <si>
    <t>5500</t>
  </si>
  <si>
    <t xml:space="preserve">              (นางสุรางค์รัตน์        หงษ์ไทย)                        (นายมานะ  หวะสุวรรณ)                              (นายวุฒิสรรค์  ศรีวิเศษ)</t>
  </si>
  <si>
    <t>ลูกหนี้-ภาษีบำรุงท้องที่</t>
  </si>
  <si>
    <t>082</t>
  </si>
  <si>
    <t>เงินทุนสำรองเงินสะสม</t>
  </si>
  <si>
    <t>703</t>
  </si>
  <si>
    <t xml:space="preserve">           หัวหน้าส่วนการคลัง อบต.หนองฉิม                       ปลัด  อบต. หนองฉิม                                    นายก อบต.หนองฉิม</t>
  </si>
  <si>
    <t>5550</t>
  </si>
  <si>
    <t>ประเภท</t>
  </si>
  <si>
    <t>เงินรับฝาก (หมายเหตุ 3)</t>
  </si>
  <si>
    <t>เงินอุดหนุนทั่วไปค้างจ่าย (หมายเหตุ 2)</t>
  </si>
  <si>
    <t>ณ วันที่    31 ธันวาคม   2548</t>
  </si>
  <si>
    <t>ณ วันที่    31 มกราคม   2549</t>
  </si>
  <si>
    <t>6450</t>
  </si>
  <si>
    <t>ณ วันที่    28  กุมภาพันธ์   2549</t>
  </si>
  <si>
    <t>ณ วันที่    31  มีนาคม   2549</t>
  </si>
  <si>
    <t>ณ วันที่    30 เมษายน  2549</t>
  </si>
  <si>
    <t>ณ วันที่    31 พฤษภาคม  2549</t>
  </si>
  <si>
    <t>ณ วันที่    30 มิถุนายน 2549</t>
  </si>
  <si>
    <t>ณ วันที่    31 กรกฎาคม  2549</t>
  </si>
  <si>
    <t>ณ วันที่    31 สิงหาคม   2549</t>
  </si>
  <si>
    <t>ณ วันที่    30  มิถุนายน  2552</t>
  </si>
  <si>
    <t>เงินฝากธนาคาร ธกส. - ออมทรัพย์ อบต.</t>
  </si>
  <si>
    <t>เงินฝากธนาคาร ธกส. - ออมทรัพย์ บช.2</t>
  </si>
  <si>
    <t>ณ วันที่  30  มิถุนายน  2552</t>
  </si>
  <si>
    <t>6.  เงินรับฝาก-ประกันสังคม</t>
  </si>
  <si>
    <t>7.  เงินรับฝาก - ศูนย์รวมข้อมูลข่าวสารการจัดซื้อฯ</t>
  </si>
  <si>
    <t>ลูกหนี้-ภาษีโรงเรือนและที่ดิน</t>
  </si>
  <si>
    <t>081</t>
  </si>
  <si>
    <t>เงินฝากธนาคารกรุงไทย  - ออมทรัพย์ อบต.</t>
  </si>
  <si>
    <t>เงินอุดหนุนเฉพาะกิจ-เบี้ยยังชีพคนชรา</t>
  </si>
  <si>
    <t>รายจ่ายค้างจ่าย (หมายเหตุ 1)</t>
  </si>
  <si>
    <t>เงินรับฝาก (หมายเหตุ 2)</t>
  </si>
  <si>
    <t>(ลงชื่อ)……………………………………ผู้จัดทำ    (ลงชื่อ)พ.จ.อ. …………………………        (ลงชื่อ)……………………………………</t>
  </si>
  <si>
    <t>เงินฝากธนาคารกรุงไทย  - ประจำ</t>
  </si>
  <si>
    <t xml:space="preserve">       ปีงบประมาณ  2552</t>
  </si>
  <si>
    <t xml:space="preserve">                   ประจำเดือน   มิถุนายน  พ.ศ.  2552           </t>
  </si>
  <si>
    <t>รับจริงเดือนนี้</t>
  </si>
  <si>
    <t>รับจริงสะสม</t>
  </si>
  <si>
    <t>หมวดภาษีอากร</t>
  </si>
  <si>
    <t>1 ภาษีโรงเรือนและที่ดิน</t>
  </si>
  <si>
    <t>2 ภาษีบำรุงท้องที่</t>
  </si>
  <si>
    <t>3 ภาษีป้าย</t>
  </si>
  <si>
    <t>หมวดค่าธรรมเนียม ค่าปรับและใบอนุญาต</t>
  </si>
  <si>
    <t>1 ค่าธรรมเนียมการเก็บและขนขยะมูลฝอย</t>
  </si>
  <si>
    <t>2 ค่าเปรียบเทียบปรับผู้กระทำผิดกฎหมายจราจรทางบก</t>
  </si>
  <si>
    <t>3 ค่าปรับการผิดสัญญา</t>
  </si>
  <si>
    <t>4 ค่าใบอนุญาตกิจการที่เป็นอันตรายต่อสุขภาพ</t>
  </si>
  <si>
    <t>5 ค่าธรรมเนียมการเก็บและขนอุจจาระและสิ่งปฏิกูล</t>
  </si>
  <si>
    <t>6 ค่าใบอนุญาตรับทำการเก็บ ขน หรือกำจัดสิ่งปฏิกูลหรือมูลฝอย</t>
  </si>
  <si>
    <t>7 ค่าใบอนุญาตอื่นๆ</t>
  </si>
  <si>
    <t>หมวดรายได้จากทรัพย์สิน</t>
  </si>
  <si>
    <t>1 ค่าเช่าหรือค่าบริการสถานที่</t>
  </si>
  <si>
    <t>2 ดอกเบี้ยเงินฝากธนาคาร</t>
  </si>
  <si>
    <t>หมวดรายได้จากสาธารณูปโภคและการพาณิชย์</t>
  </si>
  <si>
    <t>1 รายได้จากการดำเนินกิจการตลาดสด</t>
  </si>
  <si>
    <t>2 รายได้จากการจำหน่ายน้ำประปา</t>
  </si>
  <si>
    <t>หมวดรายได้เบ็ดเตล็ด</t>
  </si>
  <si>
    <t>1 เงินที่มีผู้อุทิศให้</t>
  </si>
  <si>
    <t>2 ค่าขายแบบแปลน</t>
  </si>
  <si>
    <t>3 รายได้เบ็ดเตล็ดอื่นๆ</t>
  </si>
  <si>
    <t>หมวดเงินจัดสรร</t>
  </si>
  <si>
    <t>1 ภาษีมูลค่าเพิ่มตาม พรบ. กำหนดแผนและขั้นตอนกระจายอำนาจ</t>
  </si>
  <si>
    <t>2 ภาษีมูลค่าเพิ่ม 1 ใน 9</t>
  </si>
  <si>
    <t>3 ภาษีธุรกิจเฉพาะ</t>
  </si>
  <si>
    <t>4 ภาษีสุรา</t>
  </si>
  <si>
    <t>5 ภาษีสรรพสามิต</t>
  </si>
  <si>
    <t>6 ค่าธรรมเนียมจดทะเบียนสิทธิและนิติกรรมที่ดิน</t>
  </si>
  <si>
    <t>8 ค่าภาคหลวงแร่</t>
  </si>
  <si>
    <t>หมวดเงินอุดหนุน</t>
  </si>
  <si>
    <t>1 เงินอุดหนุนทั่วไปสำหรับดำเนินการตามอำนาจหน้าที่และภารกิจถ่ายโอนเลือกทำ</t>
  </si>
  <si>
    <t>หมวดเงินอุดหนุนระบุวัตถุประสงค์</t>
  </si>
  <si>
    <t>1 เงินอุดหนุนเฉพาะกิจ - ความพยายามในการจัดเก็บภาษี</t>
  </si>
  <si>
    <t>2 เงินอุดหนุนเฉพาะกิจ - สนับสนุนศูนย์พัฒนาเด็กเล็ก</t>
  </si>
  <si>
    <t>3 เงินอุดหนุนเฉพาะกิจ - เบี้ยยังชีพคนชรา</t>
  </si>
  <si>
    <t>หมวด/ประเภท/รายการ</t>
  </si>
  <si>
    <t>ประมาณการรายรับประจำปีเปรียบเทียบกับรายรับจริง</t>
  </si>
  <si>
    <t>ประจำเดือน มิถุนายน 2552</t>
  </si>
  <si>
    <t>รวมทั้งสิ้น</t>
  </si>
  <si>
    <t>เงินอุดหนุนทั่วไป</t>
  </si>
  <si>
    <t>เงินเบิกเกินส่งคืนค่าตอบแทน (ค่ารักษาพยาบาล)</t>
  </si>
  <si>
    <t>6250</t>
  </si>
  <si>
    <t>6300</t>
  </si>
  <si>
    <t>6500</t>
  </si>
  <si>
    <t>6550</t>
  </si>
  <si>
    <t>ลูกหนี้เงินยืมเงินงบประมาณ</t>
  </si>
  <si>
    <t>มิ.ย./2</t>
  </si>
  <si>
    <t>(ลงชื่อ)……………………………………        (ลงชื่อ)พ.จ.อ……………………………        (ลงชื่อ)……………………………………</t>
  </si>
  <si>
    <t xml:space="preserve">        หัวหน้าส่วนการคลัง อบต.หนองฉิม</t>
  </si>
  <si>
    <t xml:space="preserve">            ปลัด อบต.หนองฉิม</t>
  </si>
  <si>
    <t xml:space="preserve">      นายก อบต.หนองฉิม</t>
  </si>
  <si>
    <r>
      <t>หมายเหตุ  1</t>
    </r>
    <r>
      <rPr>
        <b/>
        <sz val="16"/>
        <rFont val="Cordia New"/>
        <family val="2"/>
      </rPr>
      <t xml:space="preserve">   รายจ่ายค้างจ่าย</t>
    </r>
  </si>
  <si>
    <r>
      <t>หมายเหตุ  2</t>
    </r>
    <r>
      <rPr>
        <b/>
        <sz val="16"/>
        <rFont val="Cordia New"/>
        <family val="2"/>
      </rPr>
      <t xml:space="preserve">    เงินรับฝาก</t>
    </r>
  </si>
  <si>
    <t>7 ค่าภาคหลวงปิโตรเลียม</t>
  </si>
  <si>
    <t xml:space="preserve">              (นางสุรางค์รัตน์      หงษ์ไทย)                                         (เชาวลิต   จันทร์พงษ์)                                (นายวุฒิสรรค์  ศรีวิเศษ)</t>
  </si>
  <si>
    <t xml:space="preserve">           หัวหน้าส่วนการคลัง อบต.หนองฉิม                                     ปลัด  อบต. หนองฉิม                                   นายก อบต.หนองฉิม</t>
  </si>
  <si>
    <t>เงินเหลือจ่ายยกมา</t>
  </si>
  <si>
    <t>1.  ค่าอาหารเสริม (นม) สปช. ศพด.</t>
  </si>
  <si>
    <t>3.  เงินสนับสนุนส่งเสริมการเรียนรู้ให้แก่บุคลากรฯ</t>
  </si>
  <si>
    <t>เงินเบิกตัดปี</t>
  </si>
  <si>
    <t>1.  ค่าอาหารเสริม(นม) สปช. ศพด.</t>
  </si>
  <si>
    <t>2.  ค่าก่อสร้างอาคารตลาดสด ม.14</t>
  </si>
  <si>
    <t xml:space="preserve">           (นางสุรางค์รัตน์        หงษ์ไทย)                        (เชาวลิต  จันทร์พงษ์)                           (นายวุฒิสรรค์  ศรีวิเศษ)</t>
  </si>
  <si>
    <t>4 เงินอุดหนุนเฉพาะกิจ - ค่าครุภัณฑ์ศูนย์เด็กฯ</t>
  </si>
  <si>
    <t>5 เงินอุดหนุนเฉพาะกิจ - ทุนการศึกษาครุศาสตร์ฯ</t>
  </si>
  <si>
    <t>ประจำเดือน กรกฎาคม 2552</t>
  </si>
  <si>
    <t>(ลงชื่อ)……………………………………ผู้จัดทำ    (ลงชื่อ)พ.จ.อ. …………………………        (ลงชื่อ)พ.จ.อ…………………………………</t>
  </si>
  <si>
    <t>ณ วันที่  31 กรกฎาคม  2552</t>
  </si>
  <si>
    <t>(ลงชื่อ)……………………………………        (ลงชื่อ)พ.จ.อ……………………………        (ลงชื่อ)พ.จ.อ……………………………</t>
  </si>
  <si>
    <t>ปฏิบัติหน้าที่นายก อบต.หนองฉิม</t>
  </si>
  <si>
    <t xml:space="preserve">           (นางสุรางค์รัตน์        หงษ์ไทย)                           (เชาวลิต  จันทร์พงษ์)                            (เชาวลิต  จันทร์พงษ์)</t>
  </si>
  <si>
    <t xml:space="preserve">              ปลัด อบต.หนองฉิม</t>
  </si>
  <si>
    <t>เงินอุดหนุนเฉพาะกิจ-ความพยายามในการจัดเก็บภาษี</t>
  </si>
  <si>
    <t>ณ วันที่    31  กรกฎาคม  2552</t>
  </si>
  <si>
    <t xml:space="preserve">              (นางสุรางค์รัตน์      หงษ์ไทย)                                       (เชาวลิต   จันทร์พงษ์)                                    (เชาวลิต  จันทร์พงษ์)</t>
  </si>
  <si>
    <t xml:space="preserve">           หัวหน้าส่วนการคลัง อบต.หนองฉิม                                 ปลัด  อบต. หนองฉิม                          ปฏิบัติหน้าที่นายก อบต.หนองฉิม</t>
  </si>
  <si>
    <t xml:space="preserve">                   ประจำเดือน   กรกฎาคม  พ.ศ.  2552           </t>
  </si>
  <si>
    <t>ก.ค./2</t>
  </si>
  <si>
    <t>(ลงชื่อ)……………………………………           (ลงชื่อ) พ.จ.อ.…………………………             (ลงชื่อ) พ.จ.อ…………………………………</t>
  </si>
  <si>
    <t xml:space="preserve">        (นางสุรางค์รัตน์        หงษ์ไทย)                             (เชาวลิต   จันทร์พงษ์)                                 (เชาวลิต  จันทร์พงษ์)</t>
  </si>
  <si>
    <t xml:space="preserve">      หัวหน้าส่วนการคลัง อบต.หนองฉิม                           ปลัด  อบต. หนองฉิม                        ปฏิบัติหน้าที่นายก อบต.หนองฉิม</t>
  </si>
  <si>
    <t>6 เงินอุดหนุนเฉพาะกิจ - อาหารเสริม(นม)โรงเรียน ป.5-ป.6</t>
  </si>
  <si>
    <t>ประจำเดือน สิงหาคม 2552</t>
  </si>
  <si>
    <t xml:space="preserve">                   ประจำเดือน   สิงหาคม  พ.ศ.  2552           </t>
  </si>
  <si>
    <t>ส.ค./2</t>
  </si>
  <si>
    <t>ณ วันที่  31 สิงหาคม  2552</t>
  </si>
  <si>
    <t>เงินอุดหนุนเฉพาะกิจ-ครุภัณฑ์ ศพด.วัดโนนสะอาด</t>
  </si>
  <si>
    <t>เงินอุดหนุนเฉพาะกิจ-ค่าลงทะเบียนครุศาสตร์</t>
  </si>
  <si>
    <t>ณ วันที่    31  สิงหาคม  2552</t>
  </si>
  <si>
    <r>
      <t xml:space="preserve">เงินฝากธนาคารกรุงไทย -กระแสรายวัน </t>
    </r>
    <r>
      <rPr>
        <sz val="14"/>
        <rFont val="Cordia New"/>
        <family val="2"/>
      </rPr>
      <t>เพื่อการรับเงิน</t>
    </r>
  </si>
  <si>
    <t>เงินอุดหนุนเฉพาะกิจ-ค่าครุภัณฑ์ ศพด.</t>
  </si>
  <si>
    <t>เงินอุดหนุนเฉพาะกิจ-ทุนการศึกษาครุศาสตร์ฯ</t>
  </si>
  <si>
    <t>ประจำเดือน กันยายน 2552</t>
  </si>
  <si>
    <t>4 เงินอุดหนุนเฉพาะกิจ - ค่าวัสดุการศึกษาศูนย์เด็กฯวัดโนนสะอาด</t>
  </si>
  <si>
    <t>ณ วันที่  30 กันยายน  2552</t>
  </si>
  <si>
    <t xml:space="preserve">                   ประจำเดือน   กันยายน  พ.ศ.  2552           </t>
  </si>
  <si>
    <t>ก.ย./2</t>
  </si>
  <si>
    <t>เงินอุดหนุนเฉพาะกิจ-วัสดุ ศพด.วัดโนนสะอาด</t>
  </si>
  <si>
    <t>เงินอุดหนุนเฉพาะกิจ-ครุภัณฑ์ ศพด.</t>
  </si>
  <si>
    <t>เงินอุดหนุนเฉพาะกิจ-อาหารเสริม(นม) ป.5 - ป.6</t>
  </si>
  <si>
    <t>ณ วันที่    30 กันยายน  2552</t>
  </si>
  <si>
    <t>เงินอุดหนุนเฉพาะกิจ-วัสดุการศึกษา ศพด.โนนสะอาด</t>
  </si>
  <si>
    <t>ประจำปีงบประมาณ 2552</t>
  </si>
  <si>
    <t>รับจริง</t>
  </si>
  <si>
    <t xml:space="preserve">           หัวหน้าส่วนการคลัง                                            ปลัด อบต.หนองฉิม                     ปฏิบัติหน้าที่ นายก อบต.หนองฉิม</t>
  </si>
  <si>
    <t xml:space="preserve">          (นางสุรางค์รัตน์  หงษ์ไทย)                                   (เชาวลิต  จันทร์พงษ์)                            (เชาวลิต  จันทร์พงษ์)</t>
  </si>
  <si>
    <t>-2-</t>
  </si>
  <si>
    <r>
      <t>เงินฝากธนาคารกรุงไทย -</t>
    </r>
    <r>
      <rPr>
        <sz val="14"/>
        <rFont val="Cordia New"/>
        <family val="2"/>
      </rPr>
      <t>กระแสรายวัน</t>
    </r>
    <r>
      <rPr>
        <sz val="16"/>
        <rFont val="Cordia New"/>
        <family val="2"/>
      </rPr>
      <t xml:space="preserve"> </t>
    </r>
    <r>
      <rPr>
        <sz val="14"/>
        <rFont val="Cordia New"/>
        <family val="2"/>
      </rPr>
      <t>เพื่อการรับเงิน</t>
    </r>
  </si>
  <si>
    <t>เงินอุดหนุนเฉพาะกิจ-เงินสนับสนุน ผดด.ถ่ายโอนฯ</t>
  </si>
  <si>
    <t xml:space="preserve">        (นางสุรางค์รัตน์    หงษ์ไทย)                                  (เชาวลิต   จันทร์พงษ์)                                 (เชาวลิต  จันทร์พงษ์)</t>
  </si>
  <si>
    <t xml:space="preserve">   เงินสด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</si>
</sst>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00"/>
    <numFmt numFmtId="206" formatCode="#,##0.0"/>
    <numFmt numFmtId="207" formatCode="#,##0.00;[Red]#,##0.00"/>
    <numFmt numFmtId="208" formatCode="#,##0.00;#,##0.00"/>
    <numFmt numFmtId="209" formatCode="_-* #,##0.0_-;\-* #,##0.0_-;_-* &quot;-&quot;??_-;_-@_-"/>
    <numFmt numFmtId="210" formatCode="_-* #,##0.000_-;\-* #,##0.000_-;_-* &quot;-&quot;??_-;_-@_-"/>
    <numFmt numFmtId="211" formatCode="_-* #,##0.0000_-;\-* #,##0.0000_-;_-* &quot;-&quot;??_-;_-@_-"/>
  </numFmts>
  <fonts count="18">
    <font>
      <sz val="14"/>
      <name val="Cordia New"/>
      <family val="0"/>
    </font>
    <font>
      <b/>
      <sz val="16"/>
      <name val="Cordia New"/>
      <family val="2"/>
    </font>
    <font>
      <sz val="16"/>
      <name val="Cordia New"/>
      <family val="2"/>
    </font>
    <font>
      <b/>
      <u val="single"/>
      <sz val="16"/>
      <name val="Cordia New"/>
      <family val="2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8"/>
      <name val="BrowalliaUPC"/>
      <family val="2"/>
    </font>
    <font>
      <sz val="16"/>
      <name val="BrowalliaUPC"/>
      <family val="2"/>
    </font>
    <font>
      <b/>
      <sz val="16"/>
      <name val="BrowalliaUPC"/>
      <family val="2"/>
    </font>
    <font>
      <sz val="14"/>
      <name val="BrowalliaUPC"/>
      <family val="2"/>
    </font>
    <font>
      <sz val="15"/>
      <name val="BrowalliaUPC"/>
      <family val="2"/>
    </font>
    <font>
      <b/>
      <u val="single"/>
      <sz val="16"/>
      <name val="BrowalliaUPC"/>
      <family val="2"/>
    </font>
    <font>
      <sz val="8"/>
      <name val="Cordia New"/>
      <family val="0"/>
    </font>
    <font>
      <sz val="12"/>
      <name val="Cordia New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5"/>
      <name val="Cordia New"/>
      <family val="2"/>
    </font>
    <font>
      <sz val="13"/>
      <name val="BrowalliaUPC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49" fontId="2" fillId="0" borderId="3" xfId="0" applyNumberFormat="1" applyFont="1" applyBorder="1" applyAlignment="1">
      <alignment horizontal="center"/>
    </xf>
    <xf numFmtId="43" fontId="2" fillId="0" borderId="4" xfId="17" applyFont="1" applyBorder="1" applyAlignment="1">
      <alignment/>
    </xf>
    <xf numFmtId="43" fontId="2" fillId="0" borderId="5" xfId="17" applyFont="1" applyBorder="1" applyAlignment="1">
      <alignment/>
    </xf>
    <xf numFmtId="0" fontId="2" fillId="0" borderId="6" xfId="0" applyFont="1" applyBorder="1" applyAlignment="1">
      <alignment horizontal="center"/>
    </xf>
    <xf numFmtId="43" fontId="2" fillId="0" borderId="7" xfId="17" applyFont="1" applyBorder="1" applyAlignment="1">
      <alignment/>
    </xf>
    <xf numFmtId="43" fontId="2" fillId="0" borderId="8" xfId="17" applyFont="1" applyBorder="1" applyAlignment="1">
      <alignment/>
    </xf>
    <xf numFmtId="0" fontId="2" fillId="0" borderId="0" xfId="0" applyFont="1" applyAlignment="1">
      <alignment horizontal="center"/>
    </xf>
    <xf numFmtId="43" fontId="2" fillId="0" borderId="9" xfId="17" applyFont="1" applyBorder="1" applyAlignment="1">
      <alignment/>
    </xf>
    <xf numFmtId="43" fontId="2" fillId="0" borderId="10" xfId="17" applyFont="1" applyBorder="1" applyAlignment="1">
      <alignment/>
    </xf>
    <xf numFmtId="43" fontId="2" fillId="0" borderId="0" xfId="17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4" fillId="0" borderId="0" xfId="0" applyNumberFormat="1" applyFont="1" applyBorder="1" applyAlignment="1">
      <alignment/>
    </xf>
    <xf numFmtId="43" fontId="4" fillId="0" borderId="0" xfId="17" applyFont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3" fontId="4" fillId="0" borderId="4" xfId="17" applyFont="1" applyBorder="1" applyAlignment="1">
      <alignment/>
    </xf>
    <xf numFmtId="43" fontId="4" fillId="0" borderId="7" xfId="17" applyFont="1" applyBorder="1" applyAlignment="1">
      <alignment/>
    </xf>
    <xf numFmtId="43" fontId="4" fillId="0" borderId="9" xfId="0" applyNumberFormat="1" applyFont="1" applyBorder="1" applyAlignment="1">
      <alignment/>
    </xf>
    <xf numFmtId="43" fontId="4" fillId="0" borderId="10" xfId="0" applyNumberFormat="1" applyFont="1" applyBorder="1" applyAlignment="1">
      <alignment/>
    </xf>
    <xf numFmtId="43" fontId="4" fillId="0" borderId="13" xfId="0" applyNumberFormat="1" applyFont="1" applyBorder="1" applyAlignment="1">
      <alignment/>
    </xf>
    <xf numFmtId="43" fontId="4" fillId="0" borderId="3" xfId="17" applyFont="1" applyBorder="1" applyAlignment="1">
      <alignment/>
    </xf>
    <xf numFmtId="43" fontId="4" fillId="0" borderId="5" xfId="17" applyFont="1" applyBorder="1" applyAlignment="1">
      <alignment/>
    </xf>
    <xf numFmtId="43" fontId="4" fillId="0" borderId="6" xfId="17" applyFont="1" applyBorder="1" applyAlignment="1">
      <alignment/>
    </xf>
    <xf numFmtId="43" fontId="4" fillId="0" borderId="8" xfId="17" applyFont="1" applyBorder="1" applyAlignment="1">
      <alignment/>
    </xf>
    <xf numFmtId="43" fontId="4" fillId="0" borderId="4" xfId="17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7" xfId="0" applyFont="1" applyBorder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43" fontId="7" fillId="0" borderId="4" xfId="17" applyFont="1" applyBorder="1" applyAlignment="1">
      <alignment/>
    </xf>
    <xf numFmtId="43" fontId="7" fillId="0" borderId="7" xfId="17" applyFont="1" applyBorder="1" applyAlignment="1">
      <alignment/>
    </xf>
    <xf numFmtId="43" fontId="7" fillId="0" borderId="0" xfId="17" applyFont="1" applyAlignment="1">
      <alignment/>
    </xf>
    <xf numFmtId="43" fontId="7" fillId="0" borderId="2" xfId="17" applyFont="1" applyBorder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43" fontId="7" fillId="0" borderId="0" xfId="0" applyNumberFormat="1" applyFont="1" applyAlignment="1">
      <alignment/>
    </xf>
    <xf numFmtId="43" fontId="7" fillId="0" borderId="15" xfId="17" applyFont="1" applyBorder="1" applyAlignment="1">
      <alignment/>
    </xf>
    <xf numFmtId="43" fontId="7" fillId="0" borderId="0" xfId="17" applyFont="1" applyBorder="1" applyAlignment="1">
      <alignment/>
    </xf>
    <xf numFmtId="49" fontId="7" fillId="0" borderId="0" xfId="0" applyNumberFormat="1" applyFont="1" applyBorder="1" applyAlignment="1">
      <alignment/>
    </xf>
    <xf numFmtId="43" fontId="8" fillId="0" borderId="2" xfId="0" applyNumberFormat="1" applyFont="1" applyBorder="1" applyAlignment="1">
      <alignment/>
    </xf>
    <xf numFmtId="49" fontId="8" fillId="0" borderId="7" xfId="0" applyNumberFormat="1" applyFont="1" applyBorder="1" applyAlignment="1">
      <alignment horizontal="center"/>
    </xf>
    <xf numFmtId="43" fontId="8" fillId="0" borderId="2" xfId="17" applyFont="1" applyBorder="1" applyAlignment="1">
      <alignment/>
    </xf>
    <xf numFmtId="0" fontId="11" fillId="0" borderId="0" xfId="0" applyFont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49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43" fontId="8" fillId="0" borderId="18" xfId="17" applyFont="1" applyBorder="1" applyAlignment="1">
      <alignment/>
    </xf>
    <xf numFmtId="43" fontId="8" fillId="0" borderId="4" xfId="17" applyFont="1" applyBorder="1" applyAlignment="1">
      <alignment/>
    </xf>
    <xf numFmtId="43" fontId="8" fillId="0" borderId="10" xfId="17" applyFont="1" applyBorder="1" applyAlignment="1">
      <alignment/>
    </xf>
    <xf numFmtId="0" fontId="4" fillId="0" borderId="3" xfId="0" applyFont="1" applyBorder="1" applyAlignment="1">
      <alignment horizontal="left" inden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/>
    </xf>
    <xf numFmtId="43" fontId="4" fillId="0" borderId="2" xfId="17" applyFont="1" applyBorder="1" applyAlignment="1">
      <alignment horizontal="center"/>
    </xf>
    <xf numFmtId="43" fontId="0" fillId="0" borderId="0" xfId="17" applyAlignment="1">
      <alignment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43" fontId="0" fillId="0" borderId="15" xfId="17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3" fillId="0" borderId="5" xfId="0" applyFont="1" applyBorder="1" applyAlignment="1">
      <alignment vertical="center"/>
    </xf>
    <xf numFmtId="43" fontId="0" fillId="0" borderId="4" xfId="17" applyBorder="1" applyAlignment="1">
      <alignment vertical="center"/>
    </xf>
    <xf numFmtId="43" fontId="4" fillId="0" borderId="2" xfId="17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3" fillId="0" borderId="8" xfId="0" applyFont="1" applyBorder="1" applyAlignment="1">
      <alignment vertical="center"/>
    </xf>
    <xf numFmtId="43" fontId="4" fillId="0" borderId="0" xfId="17" applyFont="1" applyAlignment="1">
      <alignment horizontal="center"/>
    </xf>
    <xf numFmtId="43" fontId="0" fillId="0" borderId="0" xfId="17" applyAlignment="1">
      <alignment vertical="center"/>
    </xf>
    <xf numFmtId="43" fontId="4" fillId="0" borderId="0" xfId="17" applyFont="1" applyAlignment="1">
      <alignment vertical="center"/>
    </xf>
    <xf numFmtId="43" fontId="4" fillId="0" borderId="0" xfId="17" applyFont="1" applyAlignment="1">
      <alignment/>
    </xf>
    <xf numFmtId="0" fontId="9" fillId="0" borderId="0" xfId="0" applyFont="1" applyAlignment="1">
      <alignment/>
    </xf>
    <xf numFmtId="43" fontId="8" fillId="0" borderId="9" xfId="17" applyFont="1" applyBorder="1" applyAlignment="1">
      <alignment/>
    </xf>
    <xf numFmtId="0" fontId="4" fillId="0" borderId="2" xfId="0" applyFont="1" applyBorder="1" applyAlignment="1">
      <alignment horizontal="center" vertical="center"/>
    </xf>
    <xf numFmtId="17" fontId="9" fillId="0" borderId="0" xfId="0" applyNumberFormat="1" applyFont="1" applyAlignment="1" quotePrefix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49" fontId="8" fillId="0" borderId="18" xfId="0" applyNumberFormat="1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9" fontId="7" fillId="0" borderId="4" xfId="0" applyNumberFormat="1" applyFont="1" applyBorder="1" applyAlignment="1">
      <alignment horizontal="center" vertical="center"/>
    </xf>
    <xf numFmtId="43" fontId="7" fillId="0" borderId="4" xfId="1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3" fontId="7" fillId="0" borderId="10" xfId="0" applyNumberFormat="1" applyFont="1" applyBorder="1" applyAlignment="1">
      <alignment vertical="center"/>
    </xf>
    <xf numFmtId="43" fontId="7" fillId="0" borderId="10" xfId="17" applyFont="1" applyBorder="1" applyAlignment="1">
      <alignment vertical="center"/>
    </xf>
    <xf numFmtId="43" fontId="7" fillId="0" borderId="0" xfId="0" applyNumberFormat="1" applyFont="1" applyBorder="1" applyAlignment="1">
      <alignment vertical="center"/>
    </xf>
    <xf numFmtId="43" fontId="7" fillId="0" borderId="4" xfId="0" applyNumberFormat="1" applyFont="1" applyBorder="1" applyAlignment="1">
      <alignment vertical="center"/>
    </xf>
    <xf numFmtId="49" fontId="7" fillId="0" borderId="7" xfId="0" applyNumberFormat="1" applyFont="1" applyBorder="1" applyAlignment="1">
      <alignment horizontal="center" vertical="center"/>
    </xf>
    <xf numFmtId="43" fontId="7" fillId="0" borderId="2" xfId="17" applyFont="1" applyBorder="1" applyAlignment="1">
      <alignment vertical="center"/>
    </xf>
    <xf numFmtId="49" fontId="7" fillId="0" borderId="5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3" fontId="7" fillId="0" borderId="15" xfId="17" applyFont="1" applyBorder="1" applyAlignment="1">
      <alignment vertical="center"/>
    </xf>
    <xf numFmtId="43" fontId="7" fillId="0" borderId="7" xfId="17" applyFont="1" applyBorder="1" applyAlignment="1">
      <alignment vertical="center"/>
    </xf>
    <xf numFmtId="43" fontId="8" fillId="0" borderId="1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3" fontId="4" fillId="0" borderId="10" xfId="17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3" xfId="0" applyFont="1" applyBorder="1" applyAlignment="1">
      <alignment horizontal="left" indent="1"/>
    </xf>
    <xf numFmtId="0" fontId="16" fillId="0" borderId="4" xfId="0" applyFont="1" applyBorder="1" applyAlignment="1">
      <alignment horizontal="left" indent="1"/>
    </xf>
    <xf numFmtId="0" fontId="1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3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3" fontId="0" fillId="0" borderId="23" xfId="17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43" fontId="2" fillId="0" borderId="0" xfId="17" applyFont="1" applyAlignment="1">
      <alignment/>
    </xf>
    <xf numFmtId="0" fontId="2" fillId="0" borderId="0" xfId="0" applyFont="1" applyAlignment="1">
      <alignment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43" fontId="2" fillId="0" borderId="15" xfId="17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43" fontId="2" fillId="0" borderId="23" xfId="17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43" fontId="2" fillId="0" borderId="4" xfId="17" applyFont="1" applyBorder="1" applyAlignment="1">
      <alignment vertical="center"/>
    </xf>
    <xf numFmtId="43" fontId="1" fillId="0" borderId="2" xfId="17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43" fontId="1" fillId="0" borderId="10" xfId="17" applyFont="1" applyBorder="1" applyAlignment="1">
      <alignment vertical="center"/>
    </xf>
    <xf numFmtId="43" fontId="2" fillId="0" borderId="24" xfId="17" applyFont="1" applyBorder="1" applyAlignment="1">
      <alignment vertical="center"/>
    </xf>
    <xf numFmtId="43" fontId="2" fillId="0" borderId="25" xfId="17" applyFont="1" applyBorder="1" applyAlignment="1">
      <alignment vertical="center"/>
    </xf>
    <xf numFmtId="43" fontId="2" fillId="0" borderId="2" xfId="17" applyFont="1" applyBorder="1" applyAlignment="1">
      <alignment vertical="center"/>
    </xf>
    <xf numFmtId="0" fontId="1" fillId="0" borderId="0" xfId="0" applyFont="1" applyAlignment="1">
      <alignment/>
    </xf>
    <xf numFmtId="0" fontId="0" fillId="0" borderId="5" xfId="0" applyFont="1" applyBorder="1" applyAlignment="1">
      <alignment vertical="center"/>
    </xf>
    <xf numFmtId="43" fontId="2" fillId="0" borderId="26" xfId="17" applyFont="1" applyBorder="1" applyAlignment="1">
      <alignment vertical="center"/>
    </xf>
    <xf numFmtId="43" fontId="1" fillId="0" borderId="2" xfId="17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3" fontId="1" fillId="0" borderId="29" xfId="17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3" fontId="1" fillId="0" borderId="0" xfId="17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3" fontId="7" fillId="0" borderId="23" xfId="17" applyFont="1" applyBorder="1" applyAlignment="1">
      <alignment/>
    </xf>
    <xf numFmtId="0" fontId="7" fillId="0" borderId="21" xfId="0" applyFont="1" applyBorder="1" applyAlignment="1">
      <alignment/>
    </xf>
    <xf numFmtId="0" fontId="7" fillId="0" borderId="30" xfId="0" applyFont="1" applyBorder="1" applyAlignment="1">
      <alignment/>
    </xf>
    <xf numFmtId="49" fontId="7" fillId="0" borderId="23" xfId="0" applyNumberFormat="1" applyFont="1" applyBorder="1" applyAlignment="1">
      <alignment horizontal="center"/>
    </xf>
    <xf numFmtId="43" fontId="7" fillId="0" borderId="23" xfId="17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43" fontId="7" fillId="0" borderId="23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3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7" fillId="0" borderId="31" xfId="0" applyFont="1" applyBorder="1" applyAlignment="1">
      <alignment vertical="center"/>
    </xf>
    <xf numFmtId="0" fontId="7" fillId="0" borderId="30" xfId="0" applyFont="1" applyBorder="1" applyAlignment="1">
      <alignment vertical="center" shrinkToFit="1"/>
    </xf>
    <xf numFmtId="49" fontId="7" fillId="0" borderId="23" xfId="0" applyNumberFormat="1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49" fontId="7" fillId="0" borderId="4" xfId="0" applyNumberFormat="1" applyFont="1" applyBorder="1" applyAlignment="1">
      <alignment horizontal="center" vertical="center" shrinkToFit="1"/>
    </xf>
    <xf numFmtId="0" fontId="10" fillId="0" borderId="30" xfId="0" applyFont="1" applyBorder="1" applyAlignment="1">
      <alignment vertical="center" shrinkToFit="1"/>
    </xf>
    <xf numFmtId="0" fontId="17" fillId="0" borderId="30" xfId="0" applyFont="1" applyBorder="1" applyAlignment="1">
      <alignment vertical="center" shrinkToFit="1"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/>
    </xf>
    <xf numFmtId="43" fontId="4" fillId="0" borderId="21" xfId="17" applyFont="1" applyBorder="1" applyAlignment="1">
      <alignment/>
    </xf>
    <xf numFmtId="43" fontId="4" fillId="0" borderId="22" xfId="17" applyFont="1" applyBorder="1" applyAlignment="1">
      <alignment/>
    </xf>
    <xf numFmtId="0" fontId="5" fillId="0" borderId="21" xfId="0" applyFont="1" applyBorder="1" applyAlignment="1">
      <alignment horizontal="left" indent="1"/>
    </xf>
    <xf numFmtId="43" fontId="4" fillId="0" borderId="23" xfId="17" applyNumberFormat="1" applyFont="1" applyBorder="1" applyAlignment="1">
      <alignment/>
    </xf>
    <xf numFmtId="0" fontId="0" fillId="0" borderId="21" xfId="0" applyFont="1" applyBorder="1" applyAlignment="1">
      <alignment horizontal="left" indent="1"/>
    </xf>
    <xf numFmtId="0" fontId="0" fillId="0" borderId="30" xfId="0" applyFont="1" applyBorder="1" applyAlignment="1">
      <alignment/>
    </xf>
    <xf numFmtId="0" fontId="0" fillId="0" borderId="22" xfId="0" applyFont="1" applyBorder="1" applyAlignment="1">
      <alignment/>
    </xf>
    <xf numFmtId="43" fontId="0" fillId="0" borderId="21" xfId="17" applyFont="1" applyBorder="1" applyAlignment="1">
      <alignment/>
    </xf>
    <xf numFmtId="43" fontId="0" fillId="0" borderId="23" xfId="17" applyFont="1" applyBorder="1" applyAlignment="1">
      <alignment/>
    </xf>
    <xf numFmtId="43" fontId="0" fillId="0" borderId="22" xfId="17" applyFont="1" applyBorder="1" applyAlignment="1">
      <alignment/>
    </xf>
    <xf numFmtId="0" fontId="0" fillId="0" borderId="3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43" fontId="0" fillId="0" borderId="4" xfId="17" applyFont="1" applyBorder="1" applyAlignment="1">
      <alignment/>
    </xf>
    <xf numFmtId="43" fontId="0" fillId="0" borderId="0" xfId="17" applyFont="1" applyAlignment="1">
      <alignment/>
    </xf>
    <xf numFmtId="43" fontId="0" fillId="0" borderId="30" xfId="17" applyFont="1" applyBorder="1" applyAlignment="1">
      <alignment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43" fontId="0" fillId="0" borderId="3" xfId="17" applyBorder="1" applyAlignment="1">
      <alignment horizontal="center"/>
    </xf>
    <xf numFmtId="43" fontId="0" fillId="0" borderId="0" xfId="17" applyAlignment="1">
      <alignment horizontal="center"/>
    </xf>
    <xf numFmtId="43" fontId="0" fillId="0" borderId="3" xfId="17" applyBorder="1" applyAlignment="1">
      <alignment horizontal="center" vertical="center"/>
    </xf>
    <xf numFmtId="43" fontId="0" fillId="0" borderId="0" xfId="17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501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501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501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501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501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0</xdr:row>
      <xdr:rowOff>0</xdr:rowOff>
    </xdr:from>
    <xdr:to>
      <xdr:col>2</xdr:col>
      <xdr:colOff>1143000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5019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1143000</xdr:colOff>
      <xdr:row>0</xdr:row>
      <xdr:rowOff>0</xdr:rowOff>
    </xdr:from>
    <xdr:to>
      <xdr:col>3</xdr:col>
      <xdr:colOff>1143000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6429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4</xdr:row>
      <xdr:rowOff>9525</xdr:rowOff>
    </xdr:from>
    <xdr:to>
      <xdr:col>2</xdr:col>
      <xdr:colOff>1152525</xdr:colOff>
      <xdr:row>31</xdr:row>
      <xdr:rowOff>9525</xdr:rowOff>
    </xdr:to>
    <xdr:sp>
      <xdr:nvSpPr>
        <xdr:cNvPr id="13" name="Line 15"/>
        <xdr:cNvSpPr>
          <a:spLocks/>
        </xdr:cNvSpPr>
      </xdr:nvSpPr>
      <xdr:spPr>
        <a:xfrm>
          <a:off x="5029200" y="1190625"/>
          <a:ext cx="0" cy="819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4</xdr:row>
      <xdr:rowOff>0</xdr:rowOff>
    </xdr:from>
    <xdr:to>
      <xdr:col>3</xdr:col>
      <xdr:colOff>1190625</xdr:colOff>
      <xdr:row>31</xdr:row>
      <xdr:rowOff>0</xdr:rowOff>
    </xdr:to>
    <xdr:sp>
      <xdr:nvSpPr>
        <xdr:cNvPr id="14" name="Line 16"/>
        <xdr:cNvSpPr>
          <a:spLocks/>
        </xdr:cNvSpPr>
      </xdr:nvSpPr>
      <xdr:spPr>
        <a:xfrm>
          <a:off x="6477000" y="1181100"/>
          <a:ext cx="0" cy="819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15" name="Line 17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16" name="Line 18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17" name="Line 19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18" name="Line 20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19" name="Line 21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20" name="Line 22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21" name="Line 23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22" name="Line 24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23" name="Line 25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24" name="Line 26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25" name="Line 27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26" name="Line 28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27" name="Line 29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28" name="Line 30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1143000</xdr:colOff>
      <xdr:row>36</xdr:row>
      <xdr:rowOff>0</xdr:rowOff>
    </xdr:from>
    <xdr:to>
      <xdr:col>2</xdr:col>
      <xdr:colOff>1143000</xdr:colOff>
      <xdr:row>36</xdr:row>
      <xdr:rowOff>0</xdr:rowOff>
    </xdr:to>
    <xdr:sp>
      <xdr:nvSpPr>
        <xdr:cNvPr id="29" name="Line 31"/>
        <xdr:cNvSpPr>
          <a:spLocks/>
        </xdr:cNvSpPr>
      </xdr:nvSpPr>
      <xdr:spPr>
        <a:xfrm>
          <a:off x="50196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36</xdr:row>
      <xdr:rowOff>0</xdr:rowOff>
    </xdr:from>
    <xdr:to>
      <xdr:col>3</xdr:col>
      <xdr:colOff>1219200</xdr:colOff>
      <xdr:row>36</xdr:row>
      <xdr:rowOff>0</xdr:rowOff>
    </xdr:to>
    <xdr:sp>
      <xdr:nvSpPr>
        <xdr:cNvPr id="30" name="Line 32"/>
        <xdr:cNvSpPr>
          <a:spLocks/>
        </xdr:cNvSpPr>
      </xdr:nvSpPr>
      <xdr:spPr>
        <a:xfrm>
          <a:off x="6505575" y="10782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1181100</xdr:colOff>
      <xdr:row>40</xdr:row>
      <xdr:rowOff>9525</xdr:rowOff>
    </xdr:from>
    <xdr:to>
      <xdr:col>2</xdr:col>
      <xdr:colOff>1181100</xdr:colOff>
      <xdr:row>67</xdr:row>
      <xdr:rowOff>9525</xdr:rowOff>
    </xdr:to>
    <xdr:sp>
      <xdr:nvSpPr>
        <xdr:cNvPr id="31" name="Line 33"/>
        <xdr:cNvSpPr>
          <a:spLocks/>
        </xdr:cNvSpPr>
      </xdr:nvSpPr>
      <xdr:spPr>
        <a:xfrm>
          <a:off x="5057775" y="11972925"/>
          <a:ext cx="0" cy="813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40</xdr:row>
      <xdr:rowOff>0</xdr:rowOff>
    </xdr:from>
    <xdr:to>
      <xdr:col>3</xdr:col>
      <xdr:colOff>1219200</xdr:colOff>
      <xdr:row>67</xdr:row>
      <xdr:rowOff>0</xdr:rowOff>
    </xdr:to>
    <xdr:sp>
      <xdr:nvSpPr>
        <xdr:cNvPr id="32" name="Line 34"/>
        <xdr:cNvSpPr>
          <a:spLocks/>
        </xdr:cNvSpPr>
      </xdr:nvSpPr>
      <xdr:spPr>
        <a:xfrm>
          <a:off x="6505575" y="11963400"/>
          <a:ext cx="0" cy="813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158</xdr:row>
      <xdr:rowOff>9525</xdr:rowOff>
    </xdr:from>
    <xdr:to>
      <xdr:col>2</xdr:col>
      <xdr:colOff>1152525</xdr:colOff>
      <xdr:row>184</xdr:row>
      <xdr:rowOff>9525</xdr:rowOff>
    </xdr:to>
    <xdr:sp>
      <xdr:nvSpPr>
        <xdr:cNvPr id="33" name="Line 35"/>
        <xdr:cNvSpPr>
          <a:spLocks/>
        </xdr:cNvSpPr>
      </xdr:nvSpPr>
      <xdr:spPr>
        <a:xfrm>
          <a:off x="5029200" y="4443412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158</xdr:row>
      <xdr:rowOff>0</xdr:rowOff>
    </xdr:from>
    <xdr:to>
      <xdr:col>3</xdr:col>
      <xdr:colOff>1190625</xdr:colOff>
      <xdr:row>184</xdr:row>
      <xdr:rowOff>0</xdr:rowOff>
    </xdr:to>
    <xdr:sp>
      <xdr:nvSpPr>
        <xdr:cNvPr id="34" name="Line 36"/>
        <xdr:cNvSpPr>
          <a:spLocks/>
        </xdr:cNvSpPr>
      </xdr:nvSpPr>
      <xdr:spPr>
        <a:xfrm>
          <a:off x="6477000" y="4442460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194</xdr:row>
      <xdr:rowOff>9525</xdr:rowOff>
    </xdr:from>
    <xdr:to>
      <xdr:col>2</xdr:col>
      <xdr:colOff>1152525</xdr:colOff>
      <xdr:row>220</xdr:row>
      <xdr:rowOff>9525</xdr:rowOff>
    </xdr:to>
    <xdr:sp>
      <xdr:nvSpPr>
        <xdr:cNvPr id="35" name="Line 37"/>
        <xdr:cNvSpPr>
          <a:spLocks/>
        </xdr:cNvSpPr>
      </xdr:nvSpPr>
      <xdr:spPr>
        <a:xfrm>
          <a:off x="5029200" y="552735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194</xdr:row>
      <xdr:rowOff>0</xdr:rowOff>
    </xdr:from>
    <xdr:to>
      <xdr:col>3</xdr:col>
      <xdr:colOff>1190625</xdr:colOff>
      <xdr:row>220</xdr:row>
      <xdr:rowOff>0</xdr:rowOff>
    </xdr:to>
    <xdr:sp>
      <xdr:nvSpPr>
        <xdr:cNvPr id="36" name="Line 38"/>
        <xdr:cNvSpPr>
          <a:spLocks/>
        </xdr:cNvSpPr>
      </xdr:nvSpPr>
      <xdr:spPr>
        <a:xfrm>
          <a:off x="6477000" y="5526405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230</xdr:row>
      <xdr:rowOff>9525</xdr:rowOff>
    </xdr:from>
    <xdr:to>
      <xdr:col>2</xdr:col>
      <xdr:colOff>1152525</xdr:colOff>
      <xdr:row>256</xdr:row>
      <xdr:rowOff>9525</xdr:rowOff>
    </xdr:to>
    <xdr:sp>
      <xdr:nvSpPr>
        <xdr:cNvPr id="37" name="Line 39"/>
        <xdr:cNvSpPr>
          <a:spLocks/>
        </xdr:cNvSpPr>
      </xdr:nvSpPr>
      <xdr:spPr>
        <a:xfrm>
          <a:off x="5029200" y="6608445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230</xdr:row>
      <xdr:rowOff>0</xdr:rowOff>
    </xdr:from>
    <xdr:to>
      <xdr:col>3</xdr:col>
      <xdr:colOff>1190625</xdr:colOff>
      <xdr:row>256</xdr:row>
      <xdr:rowOff>0</xdr:rowOff>
    </xdr:to>
    <xdr:sp>
      <xdr:nvSpPr>
        <xdr:cNvPr id="38" name="Line 40"/>
        <xdr:cNvSpPr>
          <a:spLocks/>
        </xdr:cNvSpPr>
      </xdr:nvSpPr>
      <xdr:spPr>
        <a:xfrm>
          <a:off x="6477000" y="6607492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266</xdr:row>
      <xdr:rowOff>9525</xdr:rowOff>
    </xdr:from>
    <xdr:to>
      <xdr:col>2</xdr:col>
      <xdr:colOff>1152525</xdr:colOff>
      <xdr:row>292</xdr:row>
      <xdr:rowOff>9525</xdr:rowOff>
    </xdr:to>
    <xdr:sp>
      <xdr:nvSpPr>
        <xdr:cNvPr id="39" name="Line 41"/>
        <xdr:cNvSpPr>
          <a:spLocks/>
        </xdr:cNvSpPr>
      </xdr:nvSpPr>
      <xdr:spPr>
        <a:xfrm>
          <a:off x="5029200" y="7692390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266</xdr:row>
      <xdr:rowOff>0</xdr:rowOff>
    </xdr:from>
    <xdr:to>
      <xdr:col>3</xdr:col>
      <xdr:colOff>1190625</xdr:colOff>
      <xdr:row>292</xdr:row>
      <xdr:rowOff>0</xdr:rowOff>
    </xdr:to>
    <xdr:sp>
      <xdr:nvSpPr>
        <xdr:cNvPr id="40" name="Line 42"/>
        <xdr:cNvSpPr>
          <a:spLocks/>
        </xdr:cNvSpPr>
      </xdr:nvSpPr>
      <xdr:spPr>
        <a:xfrm>
          <a:off x="6477000" y="769143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302</xdr:row>
      <xdr:rowOff>9525</xdr:rowOff>
    </xdr:from>
    <xdr:to>
      <xdr:col>2</xdr:col>
      <xdr:colOff>1152525</xdr:colOff>
      <xdr:row>328</xdr:row>
      <xdr:rowOff>9525</xdr:rowOff>
    </xdr:to>
    <xdr:sp>
      <xdr:nvSpPr>
        <xdr:cNvPr id="41" name="Line 43"/>
        <xdr:cNvSpPr>
          <a:spLocks/>
        </xdr:cNvSpPr>
      </xdr:nvSpPr>
      <xdr:spPr>
        <a:xfrm>
          <a:off x="5029200" y="877347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302</xdr:row>
      <xdr:rowOff>0</xdr:rowOff>
    </xdr:from>
    <xdr:to>
      <xdr:col>3</xdr:col>
      <xdr:colOff>1190625</xdr:colOff>
      <xdr:row>328</xdr:row>
      <xdr:rowOff>0</xdr:rowOff>
    </xdr:to>
    <xdr:sp>
      <xdr:nvSpPr>
        <xdr:cNvPr id="42" name="Line 44"/>
        <xdr:cNvSpPr>
          <a:spLocks/>
        </xdr:cNvSpPr>
      </xdr:nvSpPr>
      <xdr:spPr>
        <a:xfrm>
          <a:off x="6477000" y="8772525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338</xdr:row>
      <xdr:rowOff>9525</xdr:rowOff>
    </xdr:from>
    <xdr:to>
      <xdr:col>2</xdr:col>
      <xdr:colOff>1152525</xdr:colOff>
      <xdr:row>364</xdr:row>
      <xdr:rowOff>9525</xdr:rowOff>
    </xdr:to>
    <xdr:sp>
      <xdr:nvSpPr>
        <xdr:cNvPr id="43" name="Line 45"/>
        <xdr:cNvSpPr>
          <a:spLocks/>
        </xdr:cNvSpPr>
      </xdr:nvSpPr>
      <xdr:spPr>
        <a:xfrm>
          <a:off x="5029200" y="9854565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338</xdr:row>
      <xdr:rowOff>0</xdr:rowOff>
    </xdr:from>
    <xdr:to>
      <xdr:col>3</xdr:col>
      <xdr:colOff>1190625</xdr:colOff>
      <xdr:row>364</xdr:row>
      <xdr:rowOff>0</xdr:rowOff>
    </xdr:to>
    <xdr:sp>
      <xdr:nvSpPr>
        <xdr:cNvPr id="44" name="Line 46"/>
        <xdr:cNvSpPr>
          <a:spLocks/>
        </xdr:cNvSpPr>
      </xdr:nvSpPr>
      <xdr:spPr>
        <a:xfrm>
          <a:off x="6477000" y="9853612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374</xdr:row>
      <xdr:rowOff>9525</xdr:rowOff>
    </xdr:from>
    <xdr:to>
      <xdr:col>2</xdr:col>
      <xdr:colOff>1152525</xdr:colOff>
      <xdr:row>400</xdr:row>
      <xdr:rowOff>9525</xdr:rowOff>
    </xdr:to>
    <xdr:sp>
      <xdr:nvSpPr>
        <xdr:cNvPr id="45" name="Line 47"/>
        <xdr:cNvSpPr>
          <a:spLocks/>
        </xdr:cNvSpPr>
      </xdr:nvSpPr>
      <xdr:spPr>
        <a:xfrm>
          <a:off x="5029200" y="10935652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374</xdr:row>
      <xdr:rowOff>0</xdr:rowOff>
    </xdr:from>
    <xdr:to>
      <xdr:col>3</xdr:col>
      <xdr:colOff>1190625</xdr:colOff>
      <xdr:row>400</xdr:row>
      <xdr:rowOff>0</xdr:rowOff>
    </xdr:to>
    <xdr:sp>
      <xdr:nvSpPr>
        <xdr:cNvPr id="46" name="Line 48"/>
        <xdr:cNvSpPr>
          <a:spLocks/>
        </xdr:cNvSpPr>
      </xdr:nvSpPr>
      <xdr:spPr>
        <a:xfrm>
          <a:off x="6477000" y="10934700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410</xdr:row>
      <xdr:rowOff>9525</xdr:rowOff>
    </xdr:from>
    <xdr:to>
      <xdr:col>2</xdr:col>
      <xdr:colOff>1152525</xdr:colOff>
      <xdr:row>436</xdr:row>
      <xdr:rowOff>9525</xdr:rowOff>
    </xdr:to>
    <xdr:sp>
      <xdr:nvSpPr>
        <xdr:cNvPr id="47" name="Line 49"/>
        <xdr:cNvSpPr>
          <a:spLocks/>
        </xdr:cNvSpPr>
      </xdr:nvSpPr>
      <xdr:spPr>
        <a:xfrm>
          <a:off x="5029200" y="12016740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410</xdr:row>
      <xdr:rowOff>0</xdr:rowOff>
    </xdr:from>
    <xdr:to>
      <xdr:col>3</xdr:col>
      <xdr:colOff>1190625</xdr:colOff>
      <xdr:row>436</xdr:row>
      <xdr:rowOff>0</xdr:rowOff>
    </xdr:to>
    <xdr:sp>
      <xdr:nvSpPr>
        <xdr:cNvPr id="48" name="Line 50"/>
        <xdr:cNvSpPr>
          <a:spLocks/>
        </xdr:cNvSpPr>
      </xdr:nvSpPr>
      <xdr:spPr>
        <a:xfrm>
          <a:off x="6477000" y="1201578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1152525</xdr:colOff>
      <xdr:row>446</xdr:row>
      <xdr:rowOff>9525</xdr:rowOff>
    </xdr:from>
    <xdr:to>
      <xdr:col>2</xdr:col>
      <xdr:colOff>1152525</xdr:colOff>
      <xdr:row>472</xdr:row>
      <xdr:rowOff>9525</xdr:rowOff>
    </xdr:to>
    <xdr:sp>
      <xdr:nvSpPr>
        <xdr:cNvPr id="49" name="Line 51"/>
        <xdr:cNvSpPr>
          <a:spLocks/>
        </xdr:cNvSpPr>
      </xdr:nvSpPr>
      <xdr:spPr>
        <a:xfrm>
          <a:off x="5029200" y="130978275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1190625</xdr:colOff>
      <xdr:row>446</xdr:row>
      <xdr:rowOff>0</xdr:rowOff>
    </xdr:from>
    <xdr:to>
      <xdr:col>3</xdr:col>
      <xdr:colOff>1190625</xdr:colOff>
      <xdr:row>472</xdr:row>
      <xdr:rowOff>0</xdr:rowOff>
    </xdr:to>
    <xdr:sp>
      <xdr:nvSpPr>
        <xdr:cNvPr id="50" name="Line 52"/>
        <xdr:cNvSpPr>
          <a:spLocks/>
        </xdr:cNvSpPr>
      </xdr:nvSpPr>
      <xdr:spPr>
        <a:xfrm>
          <a:off x="6477000" y="130968750"/>
          <a:ext cx="0" cy="793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1181100</xdr:colOff>
      <xdr:row>77</xdr:row>
      <xdr:rowOff>9525</xdr:rowOff>
    </xdr:from>
    <xdr:to>
      <xdr:col>2</xdr:col>
      <xdr:colOff>1181100</xdr:colOff>
      <xdr:row>106</xdr:row>
      <xdr:rowOff>9525</xdr:rowOff>
    </xdr:to>
    <xdr:sp>
      <xdr:nvSpPr>
        <xdr:cNvPr id="51" name="Line 55"/>
        <xdr:cNvSpPr>
          <a:spLocks/>
        </xdr:cNvSpPr>
      </xdr:nvSpPr>
      <xdr:spPr>
        <a:xfrm>
          <a:off x="5057775" y="22631400"/>
          <a:ext cx="0" cy="844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77</xdr:row>
      <xdr:rowOff>0</xdr:rowOff>
    </xdr:from>
    <xdr:to>
      <xdr:col>3</xdr:col>
      <xdr:colOff>1219200</xdr:colOff>
      <xdr:row>106</xdr:row>
      <xdr:rowOff>0</xdr:rowOff>
    </xdr:to>
    <xdr:sp>
      <xdr:nvSpPr>
        <xdr:cNvPr id="52" name="Line 56"/>
        <xdr:cNvSpPr>
          <a:spLocks/>
        </xdr:cNvSpPr>
      </xdr:nvSpPr>
      <xdr:spPr>
        <a:xfrm>
          <a:off x="6505575" y="22621875"/>
          <a:ext cx="0" cy="844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1162050</xdr:colOff>
      <xdr:row>116</xdr:row>
      <xdr:rowOff>9525</xdr:rowOff>
    </xdr:from>
    <xdr:to>
      <xdr:col>2</xdr:col>
      <xdr:colOff>1181100</xdr:colOff>
      <xdr:row>148</xdr:row>
      <xdr:rowOff>266700</xdr:rowOff>
    </xdr:to>
    <xdr:sp>
      <xdr:nvSpPr>
        <xdr:cNvPr id="53" name="Line 57"/>
        <xdr:cNvSpPr>
          <a:spLocks/>
        </xdr:cNvSpPr>
      </xdr:nvSpPr>
      <xdr:spPr>
        <a:xfrm flipH="1">
          <a:off x="5038725" y="33413700"/>
          <a:ext cx="19050" cy="882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1219200</xdr:colOff>
      <xdr:row>116</xdr:row>
      <xdr:rowOff>0</xdr:rowOff>
    </xdr:from>
    <xdr:to>
      <xdr:col>3</xdr:col>
      <xdr:colOff>1228725</xdr:colOff>
      <xdr:row>148</xdr:row>
      <xdr:rowOff>257175</xdr:rowOff>
    </xdr:to>
    <xdr:sp>
      <xdr:nvSpPr>
        <xdr:cNvPr id="54" name="Line 58"/>
        <xdr:cNvSpPr>
          <a:spLocks/>
        </xdr:cNvSpPr>
      </xdr:nvSpPr>
      <xdr:spPr>
        <a:xfrm>
          <a:off x="6505575" y="33404175"/>
          <a:ext cx="9525" cy="8820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1019175</xdr:colOff>
      <xdr:row>8</xdr:row>
      <xdr:rowOff>19050</xdr:rowOff>
    </xdr:from>
    <xdr:to>
      <xdr:col>0</xdr:col>
      <xdr:colOff>1019175</xdr:colOff>
      <xdr:row>19</xdr:row>
      <xdr:rowOff>0</xdr:rowOff>
    </xdr:to>
    <xdr:sp>
      <xdr:nvSpPr>
        <xdr:cNvPr id="1" name="Line 1"/>
        <xdr:cNvSpPr>
          <a:spLocks/>
        </xdr:cNvSpPr>
      </xdr:nvSpPr>
      <xdr:spPr>
        <a:xfrm>
          <a:off x="1019175" y="24860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1009650</xdr:colOff>
      <xdr:row>8</xdr:row>
      <xdr:rowOff>19050</xdr:rowOff>
    </xdr:from>
    <xdr:to>
      <xdr:col>1</xdr:col>
      <xdr:colOff>1009650</xdr:colOff>
      <xdr:row>28</xdr:row>
      <xdr:rowOff>9525</xdr:rowOff>
    </xdr:to>
    <xdr:sp>
      <xdr:nvSpPr>
        <xdr:cNvPr id="2" name="Line 2"/>
        <xdr:cNvSpPr>
          <a:spLocks/>
        </xdr:cNvSpPr>
      </xdr:nvSpPr>
      <xdr:spPr>
        <a:xfrm>
          <a:off x="2257425" y="24860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8</xdr:row>
      <xdr:rowOff>19050</xdr:rowOff>
    </xdr:from>
    <xdr:to>
      <xdr:col>5</xdr:col>
      <xdr:colOff>1019175</xdr:colOff>
      <xdr:row>28</xdr:row>
      <xdr:rowOff>0</xdr:rowOff>
    </xdr:to>
    <xdr:sp>
      <xdr:nvSpPr>
        <xdr:cNvPr id="3" name="Line 3"/>
        <xdr:cNvSpPr>
          <a:spLocks/>
        </xdr:cNvSpPr>
      </xdr:nvSpPr>
      <xdr:spPr>
        <a:xfrm>
          <a:off x="6858000" y="2486025"/>
          <a:ext cx="0" cy="580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24</xdr:row>
      <xdr:rowOff>19050</xdr:rowOff>
    </xdr:from>
    <xdr:to>
      <xdr:col>2</xdr:col>
      <xdr:colOff>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238250" y="7115175"/>
          <a:ext cx="1257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9525</xdr:rowOff>
    </xdr:from>
    <xdr:to>
      <xdr:col>6</xdr:col>
      <xdr:colOff>9525</xdr:colOff>
      <xdr:row>25</xdr:row>
      <xdr:rowOff>285750</xdr:rowOff>
    </xdr:to>
    <xdr:sp>
      <xdr:nvSpPr>
        <xdr:cNvPr id="5" name="Line 5"/>
        <xdr:cNvSpPr>
          <a:spLocks/>
        </xdr:cNvSpPr>
      </xdr:nvSpPr>
      <xdr:spPr>
        <a:xfrm flipV="1">
          <a:off x="5838825" y="7105650"/>
          <a:ext cx="1266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41</xdr:row>
      <xdr:rowOff>19050</xdr:rowOff>
    </xdr:from>
    <xdr:to>
      <xdr:col>0</xdr:col>
      <xdr:colOff>1000125</xdr:colOff>
      <xdr:row>62</xdr:row>
      <xdr:rowOff>238125</xdr:rowOff>
    </xdr:to>
    <xdr:sp>
      <xdr:nvSpPr>
        <xdr:cNvPr id="6" name="Line 6"/>
        <xdr:cNvSpPr>
          <a:spLocks/>
        </xdr:cNvSpPr>
      </xdr:nvSpPr>
      <xdr:spPr>
        <a:xfrm>
          <a:off x="1000125" y="11687175"/>
          <a:ext cx="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1009650</xdr:colOff>
      <xdr:row>41</xdr:row>
      <xdr:rowOff>19050</xdr:rowOff>
    </xdr:from>
    <xdr:to>
      <xdr:col>1</xdr:col>
      <xdr:colOff>1009650</xdr:colOff>
      <xdr:row>75</xdr:row>
      <xdr:rowOff>238125</xdr:rowOff>
    </xdr:to>
    <xdr:sp>
      <xdr:nvSpPr>
        <xdr:cNvPr id="7" name="Line 7"/>
        <xdr:cNvSpPr>
          <a:spLocks/>
        </xdr:cNvSpPr>
      </xdr:nvSpPr>
      <xdr:spPr>
        <a:xfrm>
          <a:off x="2257425" y="1168717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41</xdr:row>
      <xdr:rowOff>19050</xdr:rowOff>
    </xdr:from>
    <xdr:to>
      <xdr:col>5</xdr:col>
      <xdr:colOff>1019175</xdr:colOff>
      <xdr:row>75</xdr:row>
      <xdr:rowOff>238125</xdr:rowOff>
    </xdr:to>
    <xdr:sp>
      <xdr:nvSpPr>
        <xdr:cNvPr id="8" name="Line 8"/>
        <xdr:cNvSpPr>
          <a:spLocks/>
        </xdr:cNvSpPr>
      </xdr:nvSpPr>
      <xdr:spPr>
        <a:xfrm>
          <a:off x="6858000" y="1168717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9" name="Line 9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10" name="Line 10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11" name="Line 11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12" name="Line 14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13" name="Line 15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14" name="Line 16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15" name="Line 17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16" name="Line 18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17" name="Line 19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18" name="Line 22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19" name="Line 23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20" name="Line 24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21" name="Line 25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22" name="Line 26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23" name="Line 27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24" name="Line 30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25" name="Line 31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26" name="Line 32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27" name="Line 33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28" name="Line 34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29" name="Line 35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30" name="Line 38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31" name="Line 39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32" name="Line 40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33" name="Line 41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34" name="Line 42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35" name="Line 43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36" name="Line 46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37" name="Line 47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38" name="Line 48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39" name="Line 50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40" name="Line 51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41" name="Line 52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81</xdr:row>
      <xdr:rowOff>0</xdr:rowOff>
    </xdr:from>
    <xdr:to>
      <xdr:col>0</xdr:col>
      <xdr:colOff>1000125</xdr:colOff>
      <xdr:row>81</xdr:row>
      <xdr:rowOff>0</xdr:rowOff>
    </xdr:to>
    <xdr:sp>
      <xdr:nvSpPr>
        <xdr:cNvPr id="42" name="Line 55"/>
        <xdr:cNvSpPr>
          <a:spLocks/>
        </xdr:cNvSpPr>
      </xdr:nvSpPr>
      <xdr:spPr>
        <a:xfrm>
          <a:off x="1000125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81</xdr:row>
      <xdr:rowOff>0</xdr:rowOff>
    </xdr:from>
    <xdr:to>
      <xdr:col>1</xdr:col>
      <xdr:colOff>1000125</xdr:colOff>
      <xdr:row>81</xdr:row>
      <xdr:rowOff>0</xdr:rowOff>
    </xdr:to>
    <xdr:sp>
      <xdr:nvSpPr>
        <xdr:cNvPr id="43" name="Line 56"/>
        <xdr:cNvSpPr>
          <a:spLocks/>
        </xdr:cNvSpPr>
      </xdr:nvSpPr>
      <xdr:spPr>
        <a:xfrm>
          <a:off x="224790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1000125</xdr:colOff>
      <xdr:row>81</xdr:row>
      <xdr:rowOff>0</xdr:rowOff>
    </xdr:from>
    <xdr:to>
      <xdr:col>5</xdr:col>
      <xdr:colOff>1000125</xdr:colOff>
      <xdr:row>81</xdr:row>
      <xdr:rowOff>0</xdr:rowOff>
    </xdr:to>
    <xdr:sp>
      <xdr:nvSpPr>
        <xdr:cNvPr id="44" name="Line 57"/>
        <xdr:cNvSpPr>
          <a:spLocks/>
        </xdr:cNvSpPr>
      </xdr:nvSpPr>
      <xdr:spPr>
        <a:xfrm>
          <a:off x="6838950" y="21297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154</xdr:row>
      <xdr:rowOff>0</xdr:rowOff>
    </xdr:from>
    <xdr:to>
      <xdr:col>2</xdr:col>
      <xdr:colOff>38100</xdr:colOff>
      <xdr:row>155</xdr:row>
      <xdr:rowOff>219075</xdr:rowOff>
    </xdr:to>
    <xdr:sp>
      <xdr:nvSpPr>
        <xdr:cNvPr id="45" name="Line 61"/>
        <xdr:cNvSpPr>
          <a:spLocks/>
        </xdr:cNvSpPr>
      </xdr:nvSpPr>
      <xdr:spPr>
        <a:xfrm flipV="1">
          <a:off x="1276350" y="40576500"/>
          <a:ext cx="12573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153</xdr:row>
      <xdr:rowOff>9525</xdr:rowOff>
    </xdr:from>
    <xdr:to>
      <xdr:col>6</xdr:col>
      <xdr:colOff>9525</xdr:colOff>
      <xdr:row>155</xdr:row>
      <xdr:rowOff>0</xdr:rowOff>
    </xdr:to>
    <xdr:sp>
      <xdr:nvSpPr>
        <xdr:cNvPr id="46" name="Line 62"/>
        <xdr:cNvSpPr>
          <a:spLocks/>
        </xdr:cNvSpPr>
      </xdr:nvSpPr>
      <xdr:spPr>
        <a:xfrm flipV="1">
          <a:off x="5838825" y="40347900"/>
          <a:ext cx="12668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47" name="Line 7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48" name="Line 75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49" name="Line 76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50" name="Line 77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6</xdr:col>
      <xdr:colOff>9525</xdr:colOff>
      <xdr:row>329</xdr:row>
      <xdr:rowOff>0</xdr:rowOff>
    </xdr:to>
    <xdr:sp>
      <xdr:nvSpPr>
        <xdr:cNvPr id="51" name="Line 78"/>
        <xdr:cNvSpPr>
          <a:spLocks/>
        </xdr:cNvSpPr>
      </xdr:nvSpPr>
      <xdr:spPr>
        <a:xfrm flipV="1">
          <a:off x="5838825" y="85563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52" name="Line 7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53" name="Line 80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1028700</xdr:colOff>
      <xdr:row>329</xdr:row>
      <xdr:rowOff>0</xdr:rowOff>
    </xdr:from>
    <xdr:to>
      <xdr:col>5</xdr:col>
      <xdr:colOff>1028700</xdr:colOff>
      <xdr:row>329</xdr:row>
      <xdr:rowOff>0</xdr:rowOff>
    </xdr:to>
    <xdr:sp>
      <xdr:nvSpPr>
        <xdr:cNvPr id="54" name="Line 81"/>
        <xdr:cNvSpPr>
          <a:spLocks/>
        </xdr:cNvSpPr>
      </xdr:nvSpPr>
      <xdr:spPr>
        <a:xfrm>
          <a:off x="686752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55" name="Line 8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56" name="Line 83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57" name="Line 84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58" name="Line 8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59" name="Line 88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1028700</xdr:colOff>
      <xdr:row>329</xdr:row>
      <xdr:rowOff>0</xdr:rowOff>
    </xdr:from>
    <xdr:to>
      <xdr:col>5</xdr:col>
      <xdr:colOff>1028700</xdr:colOff>
      <xdr:row>329</xdr:row>
      <xdr:rowOff>0</xdr:rowOff>
    </xdr:to>
    <xdr:sp>
      <xdr:nvSpPr>
        <xdr:cNvPr id="60" name="Line 89"/>
        <xdr:cNvSpPr>
          <a:spLocks/>
        </xdr:cNvSpPr>
      </xdr:nvSpPr>
      <xdr:spPr>
        <a:xfrm>
          <a:off x="686752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61" name="Line 9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62" name="Line 91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63" name="Line 92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64" name="Line 9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65" name="Line 96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1028700</xdr:colOff>
      <xdr:row>329</xdr:row>
      <xdr:rowOff>0</xdr:rowOff>
    </xdr:from>
    <xdr:to>
      <xdr:col>5</xdr:col>
      <xdr:colOff>1028700</xdr:colOff>
      <xdr:row>329</xdr:row>
      <xdr:rowOff>0</xdr:rowOff>
    </xdr:to>
    <xdr:sp>
      <xdr:nvSpPr>
        <xdr:cNvPr id="66" name="Line 97"/>
        <xdr:cNvSpPr>
          <a:spLocks/>
        </xdr:cNvSpPr>
      </xdr:nvSpPr>
      <xdr:spPr>
        <a:xfrm>
          <a:off x="686752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67" name="Line 9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68" name="Line 99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69" name="Line 100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70" name="Line 101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6</xdr:col>
      <xdr:colOff>9525</xdr:colOff>
      <xdr:row>329</xdr:row>
      <xdr:rowOff>0</xdr:rowOff>
    </xdr:to>
    <xdr:sp>
      <xdr:nvSpPr>
        <xdr:cNvPr id="71" name="Line 102"/>
        <xdr:cNvSpPr>
          <a:spLocks/>
        </xdr:cNvSpPr>
      </xdr:nvSpPr>
      <xdr:spPr>
        <a:xfrm flipV="1">
          <a:off x="5838825" y="85563075"/>
          <a:ext cx="1266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72" name="Line 10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73" name="Line 104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1028700</xdr:colOff>
      <xdr:row>329</xdr:row>
      <xdr:rowOff>0</xdr:rowOff>
    </xdr:from>
    <xdr:to>
      <xdr:col>5</xdr:col>
      <xdr:colOff>1028700</xdr:colOff>
      <xdr:row>329</xdr:row>
      <xdr:rowOff>0</xdr:rowOff>
    </xdr:to>
    <xdr:sp>
      <xdr:nvSpPr>
        <xdr:cNvPr id="74" name="Line 105"/>
        <xdr:cNvSpPr>
          <a:spLocks/>
        </xdr:cNvSpPr>
      </xdr:nvSpPr>
      <xdr:spPr>
        <a:xfrm>
          <a:off x="686752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75" name="Line 10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76" name="Line 107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77" name="Line 108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78" name="Line 109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79" name="Line 110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80" name="Line 11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81" name="Line 112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82" name="Line 113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83" name="Line 11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84" name="Line 116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85" name="Line 117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86" name="Line 118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87" name="Line 119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88" name="Line 12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89" name="Line 121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90" name="Line 122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91" name="Line 12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92" name="Line 124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93" name="Line 125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94" name="Line 12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95" name="Line 129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96" name="Line 130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97" name="Line 13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98" name="Line 132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99" name="Line 133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00" name="Line 134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01" name="Line 135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02" name="Line 13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03" name="Line 137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04" name="Line 138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05" name="Line 13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06" name="Line 140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07" name="Line 141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08" name="Line 142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09" name="Line 143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10" name="Line 14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11" name="Line 145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12" name="Line 146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13" name="Line 14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14" name="Line 14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15" name="Line 15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16" name="Line 153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17" name="Line 154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18" name="Line 155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19" name="Line 156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20" name="Line 15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21" name="Line 158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22" name="Line 159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23" name="Line 16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24" name="Line 161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25" name="Line 162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26" name="Line 163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27" name="Line 164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28" name="Line 16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29" name="Line 166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30" name="Line 167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31" name="Line 16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32" name="Line 169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33" name="Line 170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34" name="Line 171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35" name="Line 172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36" name="Line 17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37" name="Line 174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38" name="Line 175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39" name="Line 17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40" name="Line 177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41" name="Line 178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42" name="Line 17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43" name="Line 180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44" name="Line 18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45" name="Line 183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46" name="Line 184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47" name="Line 185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48" name="Line 186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49" name="Line 18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50" name="Line 189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51" name="Line 19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52" name="Line 191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53" name="Line 192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54" name="Line 193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55" name="Line 194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56" name="Line 19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57" name="Line 196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58" name="Line 197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59" name="Line 19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60" name="Line 199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61" name="Line 200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62" name="Line 20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63" name="Line 203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64" name="Line 20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65" name="Line 205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66" name="Line 206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67" name="Line 207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68" name="Line 208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69" name="Line 20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1038225</xdr:colOff>
      <xdr:row>329</xdr:row>
      <xdr:rowOff>0</xdr:rowOff>
    </xdr:to>
    <xdr:sp>
      <xdr:nvSpPr>
        <xdr:cNvPr id="170" name="Line 210"/>
        <xdr:cNvSpPr>
          <a:spLocks/>
        </xdr:cNvSpPr>
      </xdr:nvSpPr>
      <xdr:spPr>
        <a:xfrm flipH="1">
          <a:off x="2276475" y="8556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71" name="Line 21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72" name="Line 213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73" name="Line 214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174" name="Line 215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175" name="Line 216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76" name="Line 21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177" name="Line 218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178" name="Line 219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79" name="Line 22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0" name="Line 22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1" name="Line 22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2" name="Line 22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3" name="Line 22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4" name="Line 22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5" name="Line 22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6" name="Line 22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7" name="Line 22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8" name="Line 22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89" name="Line 23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0" name="Line 23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1" name="Line 23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2" name="Line 23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3" name="Line 23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4" name="Line 23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5" name="Line 23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6" name="Line 23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7" name="Line 23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8" name="Line 23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199" name="Line 24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0" name="Line 24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1" name="Line 24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2" name="Line 24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3" name="Line 24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4" name="Line 24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5" name="Line 24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6" name="Line 24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7" name="Line 24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8" name="Line 24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09" name="Line 28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210" name="Line 283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211" name="Line 284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12" name="Line 28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213" name="Line 286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14" name="Line 28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215" name="Line 288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216" name="Line 289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17" name="Line 290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218" name="Line 291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19" name="Line 29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1038225</xdr:colOff>
      <xdr:row>329</xdr:row>
      <xdr:rowOff>0</xdr:rowOff>
    </xdr:to>
    <xdr:sp>
      <xdr:nvSpPr>
        <xdr:cNvPr id="220" name="Line 293"/>
        <xdr:cNvSpPr>
          <a:spLocks/>
        </xdr:cNvSpPr>
      </xdr:nvSpPr>
      <xdr:spPr>
        <a:xfrm flipH="1">
          <a:off x="2276475" y="855630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21" name="Line 29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222" name="Line 295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223" name="Line 296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329</xdr:row>
      <xdr:rowOff>0</xdr:rowOff>
    </xdr:from>
    <xdr:to>
      <xdr:col>2</xdr:col>
      <xdr:colOff>0</xdr:colOff>
      <xdr:row>329</xdr:row>
      <xdr:rowOff>0</xdr:rowOff>
    </xdr:to>
    <xdr:sp>
      <xdr:nvSpPr>
        <xdr:cNvPr id="224" name="Line 297"/>
        <xdr:cNvSpPr>
          <a:spLocks/>
        </xdr:cNvSpPr>
      </xdr:nvSpPr>
      <xdr:spPr>
        <a:xfrm flipV="1">
          <a:off x="1238250" y="85563075"/>
          <a:ext cx="1257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329</xdr:row>
      <xdr:rowOff>0</xdr:rowOff>
    </xdr:from>
    <xdr:to>
      <xdr:col>5</xdr:col>
      <xdr:colOff>1247775</xdr:colOff>
      <xdr:row>329</xdr:row>
      <xdr:rowOff>0</xdr:rowOff>
    </xdr:to>
    <xdr:sp>
      <xdr:nvSpPr>
        <xdr:cNvPr id="225" name="Line 298"/>
        <xdr:cNvSpPr>
          <a:spLocks/>
        </xdr:cNvSpPr>
      </xdr:nvSpPr>
      <xdr:spPr>
        <a:xfrm flipV="1">
          <a:off x="5838825" y="85563075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26" name="Line 29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1028700</xdr:colOff>
      <xdr:row>329</xdr:row>
      <xdr:rowOff>0</xdr:rowOff>
    </xdr:from>
    <xdr:to>
      <xdr:col>1</xdr:col>
      <xdr:colOff>1028700</xdr:colOff>
      <xdr:row>329</xdr:row>
      <xdr:rowOff>0</xdr:rowOff>
    </xdr:to>
    <xdr:sp>
      <xdr:nvSpPr>
        <xdr:cNvPr id="227" name="Line 300"/>
        <xdr:cNvSpPr>
          <a:spLocks/>
        </xdr:cNvSpPr>
      </xdr:nvSpPr>
      <xdr:spPr>
        <a:xfrm>
          <a:off x="2276475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1038225</xdr:colOff>
      <xdr:row>329</xdr:row>
      <xdr:rowOff>0</xdr:rowOff>
    </xdr:from>
    <xdr:to>
      <xdr:col>5</xdr:col>
      <xdr:colOff>1038225</xdr:colOff>
      <xdr:row>329</xdr:row>
      <xdr:rowOff>0</xdr:rowOff>
    </xdr:to>
    <xdr:sp>
      <xdr:nvSpPr>
        <xdr:cNvPr id="228" name="Line 301"/>
        <xdr:cNvSpPr>
          <a:spLocks/>
        </xdr:cNvSpPr>
      </xdr:nvSpPr>
      <xdr:spPr>
        <a:xfrm>
          <a:off x="687705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29" name="Line 30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0" name="Line 30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1" name="Line 30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2" name="Line 305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3" name="Line 306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4" name="Line 307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5" name="Line 308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6" name="Line 309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7" name="Line 310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8" name="Line 311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39" name="Line 312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40" name="Line 313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1028700</xdr:colOff>
      <xdr:row>329</xdr:row>
      <xdr:rowOff>0</xdr:rowOff>
    </xdr:from>
    <xdr:to>
      <xdr:col>0</xdr:col>
      <xdr:colOff>1028700</xdr:colOff>
      <xdr:row>329</xdr:row>
      <xdr:rowOff>0</xdr:rowOff>
    </xdr:to>
    <xdr:sp>
      <xdr:nvSpPr>
        <xdr:cNvPr id="241" name="Line 314"/>
        <xdr:cNvSpPr>
          <a:spLocks/>
        </xdr:cNvSpPr>
      </xdr:nvSpPr>
      <xdr:spPr>
        <a:xfrm>
          <a:off x="1028700" y="85563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1019175</xdr:colOff>
      <xdr:row>89</xdr:row>
      <xdr:rowOff>19050</xdr:rowOff>
    </xdr:from>
    <xdr:to>
      <xdr:col>0</xdr:col>
      <xdr:colOff>1019175</xdr:colOff>
      <xdr:row>100</xdr:row>
      <xdr:rowOff>0</xdr:rowOff>
    </xdr:to>
    <xdr:sp>
      <xdr:nvSpPr>
        <xdr:cNvPr id="242" name="Line 315"/>
        <xdr:cNvSpPr>
          <a:spLocks/>
        </xdr:cNvSpPr>
      </xdr:nvSpPr>
      <xdr:spPr>
        <a:xfrm>
          <a:off x="1019175" y="237839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1009650</xdr:colOff>
      <xdr:row>89</xdr:row>
      <xdr:rowOff>19050</xdr:rowOff>
    </xdr:from>
    <xdr:to>
      <xdr:col>1</xdr:col>
      <xdr:colOff>1009650</xdr:colOff>
      <xdr:row>109</xdr:row>
      <xdr:rowOff>9525</xdr:rowOff>
    </xdr:to>
    <xdr:sp>
      <xdr:nvSpPr>
        <xdr:cNvPr id="243" name="Line 316"/>
        <xdr:cNvSpPr>
          <a:spLocks/>
        </xdr:cNvSpPr>
      </xdr:nvSpPr>
      <xdr:spPr>
        <a:xfrm>
          <a:off x="2257425" y="237839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89</xdr:row>
      <xdr:rowOff>19050</xdr:rowOff>
    </xdr:from>
    <xdr:to>
      <xdr:col>5</xdr:col>
      <xdr:colOff>1019175</xdr:colOff>
      <xdr:row>109</xdr:row>
      <xdr:rowOff>0</xdr:rowOff>
    </xdr:to>
    <xdr:sp>
      <xdr:nvSpPr>
        <xdr:cNvPr id="244" name="Line 317"/>
        <xdr:cNvSpPr>
          <a:spLocks/>
        </xdr:cNvSpPr>
      </xdr:nvSpPr>
      <xdr:spPr>
        <a:xfrm>
          <a:off x="6858000" y="23783925"/>
          <a:ext cx="0" cy="580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1238250</xdr:colOff>
      <xdr:row>105</xdr:row>
      <xdr:rowOff>19050</xdr:rowOff>
    </xdr:from>
    <xdr:to>
      <xdr:col>2</xdr:col>
      <xdr:colOff>0</xdr:colOff>
      <xdr:row>107</xdr:row>
      <xdr:rowOff>0</xdr:rowOff>
    </xdr:to>
    <xdr:sp>
      <xdr:nvSpPr>
        <xdr:cNvPr id="245" name="Line 318"/>
        <xdr:cNvSpPr>
          <a:spLocks/>
        </xdr:cNvSpPr>
      </xdr:nvSpPr>
      <xdr:spPr>
        <a:xfrm flipV="1">
          <a:off x="1238250" y="28413075"/>
          <a:ext cx="12573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105</xdr:row>
      <xdr:rowOff>9525</xdr:rowOff>
    </xdr:from>
    <xdr:to>
      <xdr:col>6</xdr:col>
      <xdr:colOff>9525</xdr:colOff>
      <xdr:row>106</xdr:row>
      <xdr:rowOff>285750</xdr:rowOff>
    </xdr:to>
    <xdr:sp>
      <xdr:nvSpPr>
        <xdr:cNvPr id="246" name="Line 319"/>
        <xdr:cNvSpPr>
          <a:spLocks/>
        </xdr:cNvSpPr>
      </xdr:nvSpPr>
      <xdr:spPr>
        <a:xfrm flipV="1">
          <a:off x="5838825" y="28403550"/>
          <a:ext cx="12668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122</xdr:row>
      <xdr:rowOff>19050</xdr:rowOff>
    </xdr:from>
    <xdr:to>
      <xdr:col>0</xdr:col>
      <xdr:colOff>1000125</xdr:colOff>
      <xdr:row>143</xdr:row>
      <xdr:rowOff>238125</xdr:rowOff>
    </xdr:to>
    <xdr:sp>
      <xdr:nvSpPr>
        <xdr:cNvPr id="247" name="Line 320"/>
        <xdr:cNvSpPr>
          <a:spLocks/>
        </xdr:cNvSpPr>
      </xdr:nvSpPr>
      <xdr:spPr>
        <a:xfrm>
          <a:off x="1000125" y="32985075"/>
          <a:ext cx="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1009650</xdr:colOff>
      <xdr:row>122</xdr:row>
      <xdr:rowOff>19050</xdr:rowOff>
    </xdr:from>
    <xdr:to>
      <xdr:col>1</xdr:col>
      <xdr:colOff>1009650</xdr:colOff>
      <xdr:row>156</xdr:row>
      <xdr:rowOff>238125</xdr:rowOff>
    </xdr:to>
    <xdr:sp>
      <xdr:nvSpPr>
        <xdr:cNvPr id="248" name="Line 321"/>
        <xdr:cNvSpPr>
          <a:spLocks/>
        </xdr:cNvSpPr>
      </xdr:nvSpPr>
      <xdr:spPr>
        <a:xfrm>
          <a:off x="2257425" y="3298507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122</xdr:row>
      <xdr:rowOff>19050</xdr:rowOff>
    </xdr:from>
    <xdr:to>
      <xdr:col>5</xdr:col>
      <xdr:colOff>1019175</xdr:colOff>
      <xdr:row>156</xdr:row>
      <xdr:rowOff>238125</xdr:rowOff>
    </xdr:to>
    <xdr:sp>
      <xdr:nvSpPr>
        <xdr:cNvPr id="249" name="Line 322"/>
        <xdr:cNvSpPr>
          <a:spLocks/>
        </xdr:cNvSpPr>
      </xdr:nvSpPr>
      <xdr:spPr>
        <a:xfrm>
          <a:off x="6858000" y="32985075"/>
          <a:ext cx="0" cy="831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237</xdr:row>
      <xdr:rowOff>0</xdr:rowOff>
    </xdr:from>
    <xdr:to>
      <xdr:col>2</xdr:col>
      <xdr:colOff>38100</xdr:colOff>
      <xdr:row>238</xdr:row>
      <xdr:rowOff>219075</xdr:rowOff>
    </xdr:to>
    <xdr:sp>
      <xdr:nvSpPr>
        <xdr:cNvPr id="250" name="Line 323"/>
        <xdr:cNvSpPr>
          <a:spLocks/>
        </xdr:cNvSpPr>
      </xdr:nvSpPr>
      <xdr:spPr>
        <a:xfrm flipV="1">
          <a:off x="1276350" y="62331600"/>
          <a:ext cx="12573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657225</xdr:colOff>
      <xdr:row>237</xdr:row>
      <xdr:rowOff>9525</xdr:rowOff>
    </xdr:from>
    <xdr:to>
      <xdr:col>6</xdr:col>
      <xdr:colOff>0</xdr:colOff>
      <xdr:row>239</xdr:row>
      <xdr:rowOff>0</xdr:rowOff>
    </xdr:to>
    <xdr:sp>
      <xdr:nvSpPr>
        <xdr:cNvPr id="251" name="Line 324"/>
        <xdr:cNvSpPr>
          <a:spLocks/>
        </xdr:cNvSpPr>
      </xdr:nvSpPr>
      <xdr:spPr>
        <a:xfrm flipV="1">
          <a:off x="5829300" y="62341125"/>
          <a:ext cx="126682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1019175</xdr:colOff>
      <xdr:row>170</xdr:row>
      <xdr:rowOff>19050</xdr:rowOff>
    </xdr:from>
    <xdr:to>
      <xdr:col>0</xdr:col>
      <xdr:colOff>1019175</xdr:colOff>
      <xdr:row>181</xdr:row>
      <xdr:rowOff>0</xdr:rowOff>
    </xdr:to>
    <xdr:sp>
      <xdr:nvSpPr>
        <xdr:cNvPr id="252" name="Line 325"/>
        <xdr:cNvSpPr>
          <a:spLocks/>
        </xdr:cNvSpPr>
      </xdr:nvSpPr>
      <xdr:spPr>
        <a:xfrm>
          <a:off x="1019175" y="45081825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1009650</xdr:colOff>
      <xdr:row>170</xdr:row>
      <xdr:rowOff>19050</xdr:rowOff>
    </xdr:from>
    <xdr:to>
      <xdr:col>1</xdr:col>
      <xdr:colOff>1009650</xdr:colOff>
      <xdr:row>190</xdr:row>
      <xdr:rowOff>9525</xdr:rowOff>
    </xdr:to>
    <xdr:sp>
      <xdr:nvSpPr>
        <xdr:cNvPr id="253" name="Line 326"/>
        <xdr:cNvSpPr>
          <a:spLocks/>
        </xdr:cNvSpPr>
      </xdr:nvSpPr>
      <xdr:spPr>
        <a:xfrm>
          <a:off x="2257425" y="45081825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170</xdr:row>
      <xdr:rowOff>19050</xdr:rowOff>
    </xdr:from>
    <xdr:to>
      <xdr:col>5</xdr:col>
      <xdr:colOff>1019175</xdr:colOff>
      <xdr:row>190</xdr:row>
      <xdr:rowOff>0</xdr:rowOff>
    </xdr:to>
    <xdr:sp>
      <xdr:nvSpPr>
        <xdr:cNvPr id="254" name="Line 327"/>
        <xdr:cNvSpPr>
          <a:spLocks/>
        </xdr:cNvSpPr>
      </xdr:nvSpPr>
      <xdr:spPr>
        <a:xfrm>
          <a:off x="6858000" y="45081825"/>
          <a:ext cx="0" cy="580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185</xdr:row>
      <xdr:rowOff>47625</xdr:rowOff>
    </xdr:from>
    <xdr:to>
      <xdr:col>1</xdr:col>
      <xdr:colOff>1209675</xdr:colOff>
      <xdr:row>187</xdr:row>
      <xdr:rowOff>276225</xdr:rowOff>
    </xdr:to>
    <xdr:sp>
      <xdr:nvSpPr>
        <xdr:cNvPr id="255" name="Line 328"/>
        <xdr:cNvSpPr>
          <a:spLocks/>
        </xdr:cNvSpPr>
      </xdr:nvSpPr>
      <xdr:spPr>
        <a:xfrm flipV="1">
          <a:off x="1247775" y="49453800"/>
          <a:ext cx="1209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185</xdr:row>
      <xdr:rowOff>9525</xdr:rowOff>
    </xdr:from>
    <xdr:to>
      <xdr:col>5</xdr:col>
      <xdr:colOff>1219200</xdr:colOff>
      <xdr:row>188</xdr:row>
      <xdr:rowOff>0</xdr:rowOff>
    </xdr:to>
    <xdr:sp>
      <xdr:nvSpPr>
        <xdr:cNvPr id="256" name="Line 329"/>
        <xdr:cNvSpPr>
          <a:spLocks/>
        </xdr:cNvSpPr>
      </xdr:nvSpPr>
      <xdr:spPr>
        <a:xfrm flipV="1">
          <a:off x="5838825" y="49415700"/>
          <a:ext cx="1219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203</xdr:row>
      <xdr:rowOff>19050</xdr:rowOff>
    </xdr:from>
    <xdr:to>
      <xdr:col>0</xdr:col>
      <xdr:colOff>1000125</xdr:colOff>
      <xdr:row>224</xdr:row>
      <xdr:rowOff>238125</xdr:rowOff>
    </xdr:to>
    <xdr:sp>
      <xdr:nvSpPr>
        <xdr:cNvPr id="257" name="Line 330"/>
        <xdr:cNvSpPr>
          <a:spLocks/>
        </xdr:cNvSpPr>
      </xdr:nvSpPr>
      <xdr:spPr>
        <a:xfrm>
          <a:off x="1000125" y="54263925"/>
          <a:ext cx="0" cy="5219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203</xdr:row>
      <xdr:rowOff>19050</xdr:rowOff>
    </xdr:from>
    <xdr:to>
      <xdr:col>1</xdr:col>
      <xdr:colOff>1000125</xdr:colOff>
      <xdr:row>240</xdr:row>
      <xdr:rowOff>0</xdr:rowOff>
    </xdr:to>
    <xdr:sp>
      <xdr:nvSpPr>
        <xdr:cNvPr id="258" name="Line 331"/>
        <xdr:cNvSpPr>
          <a:spLocks/>
        </xdr:cNvSpPr>
      </xdr:nvSpPr>
      <xdr:spPr>
        <a:xfrm>
          <a:off x="2247900" y="54263925"/>
          <a:ext cx="0" cy="875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203</xdr:row>
      <xdr:rowOff>19050</xdr:rowOff>
    </xdr:from>
    <xdr:to>
      <xdr:col>5</xdr:col>
      <xdr:colOff>1019175</xdr:colOff>
      <xdr:row>239</xdr:row>
      <xdr:rowOff>238125</xdr:rowOff>
    </xdr:to>
    <xdr:sp>
      <xdr:nvSpPr>
        <xdr:cNvPr id="259" name="Line 332"/>
        <xdr:cNvSpPr>
          <a:spLocks/>
        </xdr:cNvSpPr>
      </xdr:nvSpPr>
      <xdr:spPr>
        <a:xfrm>
          <a:off x="6858000" y="54263925"/>
          <a:ext cx="0" cy="875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28575</xdr:colOff>
      <xdr:row>322</xdr:row>
      <xdr:rowOff>0</xdr:rowOff>
    </xdr:from>
    <xdr:to>
      <xdr:col>2</xdr:col>
      <xdr:colOff>38100</xdr:colOff>
      <xdr:row>323</xdr:row>
      <xdr:rowOff>209550</xdr:rowOff>
    </xdr:to>
    <xdr:sp>
      <xdr:nvSpPr>
        <xdr:cNvPr id="260" name="Line 333"/>
        <xdr:cNvSpPr>
          <a:spLocks/>
        </xdr:cNvSpPr>
      </xdr:nvSpPr>
      <xdr:spPr>
        <a:xfrm flipV="1">
          <a:off x="1276350" y="83953350"/>
          <a:ext cx="12573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321</xdr:row>
      <xdr:rowOff>9525</xdr:rowOff>
    </xdr:from>
    <xdr:to>
      <xdr:col>6</xdr:col>
      <xdr:colOff>38100</xdr:colOff>
      <xdr:row>322</xdr:row>
      <xdr:rowOff>180975</xdr:rowOff>
    </xdr:to>
    <xdr:sp>
      <xdr:nvSpPr>
        <xdr:cNvPr id="261" name="Line 334"/>
        <xdr:cNvSpPr>
          <a:spLocks/>
        </xdr:cNvSpPr>
      </xdr:nvSpPr>
      <xdr:spPr>
        <a:xfrm flipV="1">
          <a:off x="5867400" y="83724750"/>
          <a:ext cx="12668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1019175</xdr:colOff>
      <xdr:row>253</xdr:row>
      <xdr:rowOff>19050</xdr:rowOff>
    </xdr:from>
    <xdr:to>
      <xdr:col>0</xdr:col>
      <xdr:colOff>1019175</xdr:colOff>
      <xdr:row>264</xdr:row>
      <xdr:rowOff>0</xdr:rowOff>
    </xdr:to>
    <xdr:sp>
      <xdr:nvSpPr>
        <xdr:cNvPr id="262" name="Line 335"/>
        <xdr:cNvSpPr>
          <a:spLocks/>
        </xdr:cNvSpPr>
      </xdr:nvSpPr>
      <xdr:spPr>
        <a:xfrm>
          <a:off x="1019175" y="66579750"/>
          <a:ext cx="0" cy="3171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1009650</xdr:colOff>
      <xdr:row>253</xdr:row>
      <xdr:rowOff>19050</xdr:rowOff>
    </xdr:from>
    <xdr:to>
      <xdr:col>1</xdr:col>
      <xdr:colOff>1009650</xdr:colOff>
      <xdr:row>273</xdr:row>
      <xdr:rowOff>9525</xdr:rowOff>
    </xdr:to>
    <xdr:sp>
      <xdr:nvSpPr>
        <xdr:cNvPr id="263" name="Line 336"/>
        <xdr:cNvSpPr>
          <a:spLocks/>
        </xdr:cNvSpPr>
      </xdr:nvSpPr>
      <xdr:spPr>
        <a:xfrm>
          <a:off x="2257425" y="66579750"/>
          <a:ext cx="0" cy="581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253</xdr:row>
      <xdr:rowOff>19050</xdr:rowOff>
    </xdr:from>
    <xdr:to>
      <xdr:col>5</xdr:col>
      <xdr:colOff>1019175</xdr:colOff>
      <xdr:row>273</xdr:row>
      <xdr:rowOff>0</xdr:rowOff>
    </xdr:to>
    <xdr:sp>
      <xdr:nvSpPr>
        <xdr:cNvPr id="264" name="Line 337"/>
        <xdr:cNvSpPr>
          <a:spLocks/>
        </xdr:cNvSpPr>
      </xdr:nvSpPr>
      <xdr:spPr>
        <a:xfrm>
          <a:off x="6858000" y="66579750"/>
          <a:ext cx="0" cy="580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0</xdr:colOff>
      <xdr:row>267</xdr:row>
      <xdr:rowOff>9525</xdr:rowOff>
    </xdr:from>
    <xdr:to>
      <xdr:col>1</xdr:col>
      <xdr:colOff>1219200</xdr:colOff>
      <xdr:row>270</xdr:row>
      <xdr:rowOff>276225</xdr:rowOff>
    </xdr:to>
    <xdr:sp>
      <xdr:nvSpPr>
        <xdr:cNvPr id="265" name="Line 338"/>
        <xdr:cNvSpPr>
          <a:spLocks/>
        </xdr:cNvSpPr>
      </xdr:nvSpPr>
      <xdr:spPr>
        <a:xfrm flipV="1">
          <a:off x="1247775" y="70627875"/>
          <a:ext cx="121920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0</xdr:colOff>
      <xdr:row>266</xdr:row>
      <xdr:rowOff>276225</xdr:rowOff>
    </xdr:from>
    <xdr:to>
      <xdr:col>5</xdr:col>
      <xdr:colOff>1219200</xdr:colOff>
      <xdr:row>271</xdr:row>
      <xdr:rowOff>0</xdr:rowOff>
    </xdr:to>
    <xdr:sp>
      <xdr:nvSpPr>
        <xdr:cNvPr id="266" name="Line 339"/>
        <xdr:cNvSpPr>
          <a:spLocks/>
        </xdr:cNvSpPr>
      </xdr:nvSpPr>
      <xdr:spPr>
        <a:xfrm flipV="1">
          <a:off x="5838825" y="70608825"/>
          <a:ext cx="121920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1000125</xdr:colOff>
      <xdr:row>286</xdr:row>
      <xdr:rowOff>19050</xdr:rowOff>
    </xdr:from>
    <xdr:to>
      <xdr:col>0</xdr:col>
      <xdr:colOff>1000125</xdr:colOff>
      <xdr:row>307</xdr:row>
      <xdr:rowOff>238125</xdr:rowOff>
    </xdr:to>
    <xdr:sp>
      <xdr:nvSpPr>
        <xdr:cNvPr id="267" name="Line 340"/>
        <xdr:cNvSpPr>
          <a:spLocks/>
        </xdr:cNvSpPr>
      </xdr:nvSpPr>
      <xdr:spPr>
        <a:xfrm>
          <a:off x="1000125" y="75704700"/>
          <a:ext cx="0" cy="502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1</xdr:col>
      <xdr:colOff>1000125</xdr:colOff>
      <xdr:row>286</xdr:row>
      <xdr:rowOff>19050</xdr:rowOff>
    </xdr:from>
    <xdr:to>
      <xdr:col>1</xdr:col>
      <xdr:colOff>1000125</xdr:colOff>
      <xdr:row>325</xdr:row>
      <xdr:rowOff>0</xdr:rowOff>
    </xdr:to>
    <xdr:sp>
      <xdr:nvSpPr>
        <xdr:cNvPr id="268" name="Line 341"/>
        <xdr:cNvSpPr>
          <a:spLocks/>
        </xdr:cNvSpPr>
      </xdr:nvSpPr>
      <xdr:spPr>
        <a:xfrm>
          <a:off x="2247900" y="75704700"/>
          <a:ext cx="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1019175</xdr:colOff>
      <xdr:row>286</xdr:row>
      <xdr:rowOff>19050</xdr:rowOff>
    </xdr:from>
    <xdr:to>
      <xdr:col>5</xdr:col>
      <xdr:colOff>1019175</xdr:colOff>
      <xdr:row>324</xdr:row>
      <xdr:rowOff>238125</xdr:rowOff>
    </xdr:to>
    <xdr:sp>
      <xdr:nvSpPr>
        <xdr:cNvPr id="269" name="Line 342"/>
        <xdr:cNvSpPr>
          <a:spLocks/>
        </xdr:cNvSpPr>
      </xdr:nvSpPr>
      <xdr:spPr>
        <a:xfrm>
          <a:off x="6858000" y="75704700"/>
          <a:ext cx="0" cy="888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F477"/>
  <sheetViews>
    <sheetView showGridLines="0" tabSelected="1" view="pageBreakPreview" zoomScaleSheetLayoutView="100" workbookViewId="0" topLeftCell="A50">
      <selection activeCell="A144" sqref="A144"/>
    </sheetView>
  </sheetViews>
  <sheetFormatPr defaultColWidth="9.140625" defaultRowHeight="21.75"/>
  <cols>
    <col min="1" max="1" width="45.28125" style="0" customWidth="1"/>
    <col min="2" max="2" width="12.8515625" style="1" customWidth="1"/>
    <col min="3" max="3" width="21.140625" style="0" customWidth="1"/>
    <col min="4" max="4" width="21.8515625" style="0" customWidth="1"/>
    <col min="5" max="5" width="4.28125" style="0" customWidth="1"/>
    <col min="6" max="6" width="17.7109375" style="85" customWidth="1"/>
    <col min="7" max="7" width="20.00390625" style="0" customWidth="1"/>
  </cols>
  <sheetData>
    <row r="1" spans="1:5" ht="23.25">
      <c r="A1" s="227" t="s">
        <v>0</v>
      </c>
      <c r="B1" s="227"/>
      <c r="C1" s="227"/>
      <c r="D1" s="227"/>
      <c r="E1" s="227"/>
    </row>
    <row r="2" spans="1:5" ht="23.25">
      <c r="A2" s="227" t="s">
        <v>90</v>
      </c>
      <c r="B2" s="227"/>
      <c r="C2" s="227"/>
      <c r="D2" s="227"/>
      <c r="E2" s="227"/>
    </row>
    <row r="3" spans="1:5" ht="23.25">
      <c r="A3" s="227" t="s">
        <v>129</v>
      </c>
      <c r="B3" s="227"/>
      <c r="C3" s="227"/>
      <c r="D3" s="227"/>
      <c r="E3" s="227"/>
    </row>
    <row r="4" spans="1:5" ht="23.25">
      <c r="A4" s="2" t="s">
        <v>1</v>
      </c>
      <c r="B4" s="2" t="s">
        <v>2</v>
      </c>
      <c r="C4" s="3" t="s">
        <v>38</v>
      </c>
      <c r="D4" s="3" t="s">
        <v>3</v>
      </c>
      <c r="E4" s="4"/>
    </row>
    <row r="5" spans="1:4" ht="27" customHeight="1">
      <c r="A5" s="41" t="s">
        <v>4</v>
      </c>
      <c r="B5" s="6" t="s">
        <v>20</v>
      </c>
      <c r="C5" s="7">
        <v>0</v>
      </c>
      <c r="D5" s="8"/>
    </row>
    <row r="6" spans="1:4" ht="24">
      <c r="A6" s="42" t="s">
        <v>130</v>
      </c>
      <c r="B6" s="6" t="s">
        <v>21</v>
      </c>
      <c r="C6" s="7">
        <v>5724660.08</v>
      </c>
      <c r="D6" s="8"/>
    </row>
    <row r="7" spans="1:4" ht="24">
      <c r="A7" s="42" t="s">
        <v>131</v>
      </c>
      <c r="B7" s="6" t="s">
        <v>21</v>
      </c>
      <c r="C7" s="7">
        <v>190673.29</v>
      </c>
      <c r="D7" s="8"/>
    </row>
    <row r="8" spans="1:4" ht="24">
      <c r="A8" s="42" t="s">
        <v>137</v>
      </c>
      <c r="B8" s="6" t="s">
        <v>21</v>
      </c>
      <c r="C8" s="7">
        <v>5046374.9</v>
      </c>
      <c r="D8" s="8"/>
    </row>
    <row r="9" spans="1:4" ht="24">
      <c r="A9" s="42" t="s">
        <v>142</v>
      </c>
      <c r="B9" s="6" t="s">
        <v>22</v>
      </c>
      <c r="C9" s="7">
        <v>1000000</v>
      </c>
      <c r="D9" s="8"/>
    </row>
    <row r="10" spans="1:4" ht="24">
      <c r="A10" s="42" t="s">
        <v>87</v>
      </c>
      <c r="B10" s="6" t="s">
        <v>89</v>
      </c>
      <c r="C10" s="7">
        <v>1848761.55</v>
      </c>
      <c r="D10" s="8"/>
    </row>
    <row r="11" spans="1:4" ht="24">
      <c r="A11" s="42" t="s">
        <v>135</v>
      </c>
      <c r="B11" s="6" t="s">
        <v>136</v>
      </c>
      <c r="C11" s="7">
        <v>792</v>
      </c>
      <c r="D11" s="8"/>
    </row>
    <row r="12" spans="1:4" ht="24">
      <c r="A12" s="42" t="s">
        <v>110</v>
      </c>
      <c r="B12" s="6" t="s">
        <v>111</v>
      </c>
      <c r="C12" s="7">
        <v>18844</v>
      </c>
      <c r="D12" s="8"/>
    </row>
    <row r="13" spans="1:6" ht="24">
      <c r="A13" s="42" t="s">
        <v>14</v>
      </c>
      <c r="B13" s="6" t="s">
        <v>32</v>
      </c>
      <c r="C13" s="7">
        <v>684416</v>
      </c>
      <c r="D13" s="8"/>
      <c r="F13" s="85">
        <v>79908</v>
      </c>
    </row>
    <row r="14" spans="1:6" ht="24">
      <c r="A14" s="42" t="s">
        <v>6</v>
      </c>
      <c r="B14" s="6" t="s">
        <v>24</v>
      </c>
      <c r="C14" s="7">
        <v>1707869</v>
      </c>
      <c r="D14" s="8"/>
      <c r="F14" s="85">
        <v>200012</v>
      </c>
    </row>
    <row r="15" spans="1:6" ht="24">
      <c r="A15" s="42" t="s">
        <v>7</v>
      </c>
      <c r="B15" s="6" t="s">
        <v>25</v>
      </c>
      <c r="C15" s="7">
        <v>1485856</v>
      </c>
      <c r="D15" s="8"/>
      <c r="F15" s="85">
        <f>113460+65600</f>
        <v>179060</v>
      </c>
    </row>
    <row r="16" spans="1:6" ht="24">
      <c r="A16" s="42" t="s">
        <v>8</v>
      </c>
      <c r="B16" s="6" t="s">
        <v>26</v>
      </c>
      <c r="C16" s="7">
        <v>1757314.5</v>
      </c>
      <c r="D16" s="8"/>
      <c r="F16" s="85">
        <v>214096</v>
      </c>
    </row>
    <row r="17" spans="1:6" ht="24">
      <c r="A17" s="42" t="s">
        <v>9</v>
      </c>
      <c r="B17" s="6" t="s">
        <v>27</v>
      </c>
      <c r="C17" s="7">
        <v>1478384.44</v>
      </c>
      <c r="D17" s="8"/>
      <c r="F17" s="85">
        <f>163664+182981</f>
        <v>346645</v>
      </c>
    </row>
    <row r="18" spans="1:6" ht="24">
      <c r="A18" s="42" t="s">
        <v>10</v>
      </c>
      <c r="B18" s="6" t="s">
        <v>28</v>
      </c>
      <c r="C18" s="7">
        <v>1227705.64</v>
      </c>
      <c r="D18" s="8"/>
      <c r="F18" s="85">
        <v>161779</v>
      </c>
    </row>
    <row r="19" spans="1:6" ht="24">
      <c r="A19" s="42" t="s">
        <v>11</v>
      </c>
      <c r="B19" s="6" t="s">
        <v>29</v>
      </c>
      <c r="C19" s="7">
        <v>208658.1</v>
      </c>
      <c r="D19" s="8"/>
      <c r="F19" s="85">
        <v>55870.97</v>
      </c>
    </row>
    <row r="20" spans="1:6" ht="24">
      <c r="A20" s="42" t="s">
        <v>16</v>
      </c>
      <c r="B20" s="6" t="s">
        <v>34</v>
      </c>
      <c r="C20" s="7">
        <v>1013400</v>
      </c>
      <c r="D20" s="8"/>
      <c r="F20" s="85">
        <f>2000+300282</f>
        <v>302282</v>
      </c>
    </row>
    <row r="21" spans="1:4" ht="24">
      <c r="A21" s="42" t="s">
        <v>12</v>
      </c>
      <c r="B21" s="6" t="s">
        <v>30</v>
      </c>
      <c r="C21" s="7">
        <v>148200</v>
      </c>
      <c r="D21" s="8"/>
    </row>
    <row r="22" spans="1:6" ht="24">
      <c r="A22" s="42" t="s">
        <v>15</v>
      </c>
      <c r="B22" s="6" t="s">
        <v>33</v>
      </c>
      <c r="C22" s="7">
        <v>2525500</v>
      </c>
      <c r="D22" s="8"/>
      <c r="F22" s="85">
        <v>1000</v>
      </c>
    </row>
    <row r="23" spans="1:4" ht="24">
      <c r="A23" s="42" t="s">
        <v>138</v>
      </c>
      <c r="B23" s="6" t="s">
        <v>65</v>
      </c>
      <c r="C23" s="7">
        <v>870000</v>
      </c>
      <c r="D23" s="8"/>
    </row>
    <row r="24" spans="1:4" ht="24">
      <c r="A24" s="42" t="s">
        <v>139</v>
      </c>
      <c r="B24" s="6" t="s">
        <v>88</v>
      </c>
      <c r="C24" s="7"/>
      <c r="D24" s="8">
        <v>116690.99</v>
      </c>
    </row>
    <row r="25" spans="1:4" ht="24">
      <c r="A25" s="42" t="s">
        <v>18</v>
      </c>
      <c r="B25" s="6" t="s">
        <v>35</v>
      </c>
      <c r="C25" s="7"/>
      <c r="D25" s="8">
        <v>20370959.05</v>
      </c>
    </row>
    <row r="26" spans="1:4" ht="24">
      <c r="A26" s="42" t="s">
        <v>19</v>
      </c>
      <c r="B26" s="6" t="s">
        <v>37</v>
      </c>
      <c r="C26" s="7"/>
      <c r="D26" s="8">
        <v>421853.45</v>
      </c>
    </row>
    <row r="27" spans="1:4" ht="24">
      <c r="A27" s="42" t="s">
        <v>112</v>
      </c>
      <c r="B27" s="6" t="s">
        <v>113</v>
      </c>
      <c r="C27" s="7"/>
      <c r="D27" s="8">
        <v>4132124.66</v>
      </c>
    </row>
    <row r="28" spans="1:4" ht="24">
      <c r="A28" s="42" t="s">
        <v>140</v>
      </c>
      <c r="B28" s="6" t="s">
        <v>36</v>
      </c>
      <c r="C28" s="7"/>
      <c r="D28" s="8">
        <v>353092.29</v>
      </c>
    </row>
    <row r="29" spans="1:4" ht="24">
      <c r="A29" s="42" t="s">
        <v>17</v>
      </c>
      <c r="B29" s="6"/>
      <c r="C29" s="7"/>
      <c r="D29" s="8">
        <v>1542689.06</v>
      </c>
    </row>
    <row r="30" spans="1:4" ht="17.25" customHeight="1">
      <c r="A30" s="43"/>
      <c r="B30" s="9"/>
      <c r="C30" s="10"/>
      <c r="D30" s="11"/>
    </row>
    <row r="31" spans="1:6" ht="24.75" thickBot="1">
      <c r="A31" s="5"/>
      <c r="B31" s="12"/>
      <c r="C31" s="13">
        <f>SUM(C5:C30)</f>
        <v>26937409.500000004</v>
      </c>
      <c r="D31" s="14">
        <f>SUM(D5:D30)</f>
        <v>26937409.499999996</v>
      </c>
      <c r="F31" s="85">
        <f>C31-D31</f>
        <v>0</v>
      </c>
    </row>
    <row r="32" spans="1:4" ht="24.75" thickTop="1">
      <c r="A32" s="5"/>
      <c r="B32" s="12"/>
      <c r="C32" s="15"/>
      <c r="D32" s="15"/>
    </row>
    <row r="33" ht="21" customHeight="1"/>
    <row r="34" spans="1:5" ht="21.75">
      <c r="A34" s="225" t="s">
        <v>141</v>
      </c>
      <c r="B34" s="225"/>
      <c r="C34" s="225"/>
      <c r="D34" s="225"/>
      <c r="E34" s="225"/>
    </row>
    <row r="35" spans="1:4" ht="21.75">
      <c r="A35" s="225" t="s">
        <v>202</v>
      </c>
      <c r="B35" s="225"/>
      <c r="C35" s="225"/>
      <c r="D35" s="225"/>
    </row>
    <row r="36" spans="1:4" ht="21.75">
      <c r="A36" s="225" t="s">
        <v>203</v>
      </c>
      <c r="B36" s="225"/>
      <c r="C36" s="225"/>
      <c r="D36" s="225"/>
    </row>
    <row r="37" spans="1:5" ht="23.25">
      <c r="A37" s="227" t="s">
        <v>0</v>
      </c>
      <c r="B37" s="227"/>
      <c r="C37" s="227"/>
      <c r="D37" s="227"/>
      <c r="E37" s="227"/>
    </row>
    <row r="38" spans="1:5" ht="23.25">
      <c r="A38" s="227" t="s">
        <v>90</v>
      </c>
      <c r="B38" s="227"/>
      <c r="C38" s="227"/>
      <c r="D38" s="227"/>
      <c r="E38" s="227"/>
    </row>
    <row r="39" spans="1:5" ht="23.25">
      <c r="A39" s="227" t="s">
        <v>221</v>
      </c>
      <c r="B39" s="227"/>
      <c r="C39" s="227"/>
      <c r="D39" s="227"/>
      <c r="E39" s="227"/>
    </row>
    <row r="40" spans="1:5" ht="23.25">
      <c r="A40" s="2" t="s">
        <v>1</v>
      </c>
      <c r="B40" s="2" t="s">
        <v>2</v>
      </c>
      <c r="C40" s="3" t="s">
        <v>38</v>
      </c>
      <c r="D40" s="3" t="s">
        <v>3</v>
      </c>
      <c r="E40" s="4"/>
    </row>
    <row r="41" spans="1:4" ht="27" customHeight="1">
      <c r="A41" s="41" t="s">
        <v>4</v>
      </c>
      <c r="B41" s="6" t="s">
        <v>20</v>
      </c>
      <c r="C41" s="7">
        <v>0</v>
      </c>
      <c r="D41" s="8"/>
    </row>
    <row r="42" spans="1:4" ht="24">
      <c r="A42" s="42" t="s">
        <v>130</v>
      </c>
      <c r="B42" s="6" t="s">
        <v>21</v>
      </c>
      <c r="C42" s="7">
        <f>5724660.08+1848761.55+149728.39-1430035.44</f>
        <v>6293114.58</v>
      </c>
      <c r="D42" s="8"/>
    </row>
    <row r="43" spans="1:4" ht="24">
      <c r="A43" s="42" t="s">
        <v>131</v>
      </c>
      <c r="B43" s="6" t="s">
        <v>21</v>
      </c>
      <c r="C43" s="7">
        <f>190673.29+96000</f>
        <v>286673.29000000004</v>
      </c>
      <c r="D43" s="8"/>
    </row>
    <row r="44" spans="1:4" ht="24">
      <c r="A44" s="42" t="s">
        <v>137</v>
      </c>
      <c r="B44" s="6" t="s">
        <v>21</v>
      </c>
      <c r="C44" s="7">
        <f>5046374.9-316109</f>
        <v>4730265.9</v>
      </c>
      <c r="D44" s="8"/>
    </row>
    <row r="45" spans="1:4" ht="24">
      <c r="A45" s="42" t="s">
        <v>142</v>
      </c>
      <c r="B45" s="6" t="s">
        <v>22</v>
      </c>
      <c r="C45" s="7">
        <v>1000000</v>
      </c>
      <c r="D45" s="8"/>
    </row>
    <row r="46" spans="1:4" ht="24">
      <c r="A46" s="42" t="s">
        <v>87</v>
      </c>
      <c r="B46" s="6" t="s">
        <v>89</v>
      </c>
      <c r="C46" s="7">
        <v>1494814.89</v>
      </c>
      <c r="D46" s="8"/>
    </row>
    <row r="47" spans="1:4" ht="24">
      <c r="A47" s="42" t="s">
        <v>135</v>
      </c>
      <c r="B47" s="6" t="s">
        <v>136</v>
      </c>
      <c r="C47" s="7">
        <v>792</v>
      </c>
      <c r="D47" s="8"/>
    </row>
    <row r="48" spans="1:4" ht="24">
      <c r="A48" s="42" t="s">
        <v>110</v>
      </c>
      <c r="B48" s="6" t="s">
        <v>111</v>
      </c>
      <c r="C48" s="7">
        <v>18844</v>
      </c>
      <c r="D48" s="8"/>
    </row>
    <row r="49" spans="1:4" ht="24">
      <c r="A49" s="42" t="s">
        <v>14</v>
      </c>
      <c r="B49" s="6" t="s">
        <v>32</v>
      </c>
      <c r="C49" s="7">
        <v>764324</v>
      </c>
      <c r="D49" s="8"/>
    </row>
    <row r="50" spans="1:4" ht="24">
      <c r="A50" s="42" t="s">
        <v>6</v>
      </c>
      <c r="B50" s="6" t="s">
        <v>24</v>
      </c>
      <c r="C50" s="7">
        <v>1907881</v>
      </c>
      <c r="D50" s="8"/>
    </row>
    <row r="51" spans="1:4" ht="24">
      <c r="A51" s="42" t="s">
        <v>7</v>
      </c>
      <c r="B51" s="6" t="s">
        <v>25</v>
      </c>
      <c r="C51" s="7">
        <f>652394+1012522</f>
        <v>1664916</v>
      </c>
      <c r="D51" s="8"/>
    </row>
    <row r="52" spans="1:4" ht="24">
      <c r="A52" s="42" t="s">
        <v>8</v>
      </c>
      <c r="B52" s="6" t="s">
        <v>26</v>
      </c>
      <c r="C52" s="7">
        <v>1971410.5</v>
      </c>
      <c r="D52" s="8"/>
    </row>
    <row r="53" spans="1:4" ht="24">
      <c r="A53" s="42" t="s">
        <v>9</v>
      </c>
      <c r="B53" s="6" t="s">
        <v>27</v>
      </c>
      <c r="C53" s="7">
        <f>962069.55+862959.89</f>
        <v>1825029.44</v>
      </c>
      <c r="D53" s="8"/>
    </row>
    <row r="54" spans="1:4" ht="24">
      <c r="A54" s="42" t="s">
        <v>10</v>
      </c>
      <c r="B54" s="6" t="s">
        <v>28</v>
      </c>
      <c r="C54" s="7">
        <v>1389484.64</v>
      </c>
      <c r="D54" s="8"/>
    </row>
    <row r="55" spans="1:4" ht="24">
      <c r="A55" s="42" t="s">
        <v>11</v>
      </c>
      <c r="B55" s="6" t="s">
        <v>29</v>
      </c>
      <c r="C55" s="7">
        <v>264529.07</v>
      </c>
      <c r="D55" s="8"/>
    </row>
    <row r="56" spans="1:4" ht="24">
      <c r="A56" s="42" t="s">
        <v>16</v>
      </c>
      <c r="B56" s="6" t="s">
        <v>34</v>
      </c>
      <c r="C56" s="7">
        <f>1052682+263000</f>
        <v>1315682</v>
      </c>
      <c r="D56" s="8"/>
    </row>
    <row r="57" spans="1:4" ht="24">
      <c r="A57" s="42" t="s">
        <v>12</v>
      </c>
      <c r="B57" s="6" t="s">
        <v>30</v>
      </c>
      <c r="C57" s="7">
        <v>148200</v>
      </c>
      <c r="D57" s="8"/>
    </row>
    <row r="58" spans="1:4" ht="24">
      <c r="A58" s="42" t="s">
        <v>15</v>
      </c>
      <c r="B58" s="6" t="s">
        <v>33</v>
      </c>
      <c r="C58" s="7">
        <f>2519500+7000</f>
        <v>2526500</v>
      </c>
      <c r="D58" s="8"/>
    </row>
    <row r="59" spans="1:4" ht="24">
      <c r="A59" s="42" t="s">
        <v>138</v>
      </c>
      <c r="B59" s="6" t="s">
        <v>65</v>
      </c>
      <c r="C59" s="7">
        <v>870000</v>
      </c>
      <c r="D59" s="8"/>
    </row>
    <row r="60" spans="1:4" ht="24">
      <c r="A60" s="142" t="s">
        <v>220</v>
      </c>
      <c r="B60" s="6" t="s">
        <v>65</v>
      </c>
      <c r="C60" s="7">
        <v>111500</v>
      </c>
      <c r="D60" s="8"/>
    </row>
    <row r="61" spans="1:4" ht="24">
      <c r="A61" s="42" t="s">
        <v>139</v>
      </c>
      <c r="B61" s="6" t="s">
        <v>88</v>
      </c>
      <c r="C61" s="7"/>
      <c r="D61" s="8">
        <v>116690.99</v>
      </c>
    </row>
    <row r="62" spans="1:4" ht="24">
      <c r="A62" s="42" t="s">
        <v>18</v>
      </c>
      <c r="B62" s="6" t="s">
        <v>35</v>
      </c>
      <c r="C62" s="7"/>
      <c r="D62" s="8">
        <v>22015419.17</v>
      </c>
    </row>
    <row r="63" spans="1:4" ht="24">
      <c r="A63" s="42" t="s">
        <v>19</v>
      </c>
      <c r="B63" s="6" t="s">
        <v>37</v>
      </c>
      <c r="C63" s="7"/>
      <c r="D63" s="8">
        <v>323853.45</v>
      </c>
    </row>
    <row r="64" spans="1:4" ht="24">
      <c r="A64" s="42" t="s">
        <v>112</v>
      </c>
      <c r="B64" s="6" t="s">
        <v>113</v>
      </c>
      <c r="C64" s="7"/>
      <c r="D64" s="8">
        <v>4132124.66</v>
      </c>
    </row>
    <row r="65" spans="1:4" ht="24">
      <c r="A65" s="42" t="s">
        <v>140</v>
      </c>
      <c r="B65" s="6" t="s">
        <v>36</v>
      </c>
      <c r="C65" s="7"/>
      <c r="D65" s="8">
        <v>453183.98</v>
      </c>
    </row>
    <row r="66" spans="1:4" ht="24">
      <c r="A66" s="42" t="s">
        <v>17</v>
      </c>
      <c r="B66" s="6"/>
      <c r="C66" s="7"/>
      <c r="D66" s="8">
        <v>1542689.06</v>
      </c>
    </row>
    <row r="67" spans="1:4" ht="13.5" customHeight="1">
      <c r="A67" s="43"/>
      <c r="B67" s="9"/>
      <c r="C67" s="10"/>
      <c r="D67" s="11"/>
    </row>
    <row r="68" spans="1:6" ht="24.75" thickBot="1">
      <c r="A68" s="5"/>
      <c r="B68" s="12"/>
      <c r="C68" s="13">
        <f>SUM(C41:C67)</f>
        <v>28583961.310000002</v>
      </c>
      <c r="D68" s="14">
        <f>SUM(D41:D67)</f>
        <v>28583961.31</v>
      </c>
      <c r="F68" s="85">
        <f>C68-D68</f>
        <v>0</v>
      </c>
    </row>
    <row r="69" spans="1:4" ht="24.75" thickTop="1">
      <c r="A69" s="5"/>
      <c r="B69" s="12"/>
      <c r="C69" s="15"/>
      <c r="D69" s="15"/>
    </row>
    <row r="70" ht="3.75" customHeight="1"/>
    <row r="71" spans="1:5" ht="21.75">
      <c r="A71" s="225" t="s">
        <v>214</v>
      </c>
      <c r="B71" s="225"/>
      <c r="C71" s="225"/>
      <c r="D71" s="225"/>
      <c r="E71" s="225"/>
    </row>
    <row r="72" spans="1:4" ht="21.75">
      <c r="A72" s="225" t="s">
        <v>222</v>
      </c>
      <c r="B72" s="225"/>
      <c r="C72" s="225"/>
      <c r="D72" s="225"/>
    </row>
    <row r="73" spans="1:4" ht="21.75">
      <c r="A73" s="225" t="s">
        <v>223</v>
      </c>
      <c r="B73" s="225"/>
      <c r="C73" s="225"/>
      <c r="D73" s="225"/>
    </row>
    <row r="74" spans="1:5" ht="21.75" customHeight="1">
      <c r="A74" s="226" t="s">
        <v>0</v>
      </c>
      <c r="B74" s="226"/>
      <c r="C74" s="226"/>
      <c r="D74" s="226"/>
      <c r="E74" s="226"/>
    </row>
    <row r="75" spans="1:5" ht="18" customHeight="1">
      <c r="A75" s="226" t="s">
        <v>90</v>
      </c>
      <c r="B75" s="226"/>
      <c r="C75" s="226"/>
      <c r="D75" s="226"/>
      <c r="E75" s="226"/>
    </row>
    <row r="76" spans="1:5" ht="18.75" customHeight="1">
      <c r="A76" s="226" t="s">
        <v>236</v>
      </c>
      <c r="B76" s="226"/>
      <c r="C76" s="226"/>
      <c r="D76" s="226"/>
      <c r="E76" s="226"/>
    </row>
    <row r="77" spans="1:5" ht="21.75" customHeight="1">
      <c r="A77" s="144" t="s">
        <v>1</v>
      </c>
      <c r="B77" s="144" t="s">
        <v>2</v>
      </c>
      <c r="C77" s="145" t="s">
        <v>38</v>
      </c>
      <c r="D77" s="145" t="s">
        <v>3</v>
      </c>
      <c r="E77" s="4"/>
    </row>
    <row r="78" spans="1:4" ht="23.25" customHeight="1">
      <c r="A78" s="41" t="s">
        <v>4</v>
      </c>
      <c r="B78" s="6" t="s">
        <v>20</v>
      </c>
      <c r="C78" s="7">
        <v>1500</v>
      </c>
      <c r="D78" s="8"/>
    </row>
    <row r="79" spans="1:4" ht="23.25" customHeight="1">
      <c r="A79" s="42" t="s">
        <v>130</v>
      </c>
      <c r="B79" s="6" t="s">
        <v>21</v>
      </c>
      <c r="C79" s="7">
        <v>6788218.07</v>
      </c>
      <c r="D79" s="8"/>
    </row>
    <row r="80" spans="1:4" ht="23.25" customHeight="1">
      <c r="A80" s="42" t="s">
        <v>131</v>
      </c>
      <c r="B80" s="6" t="s">
        <v>21</v>
      </c>
      <c r="C80" s="7">
        <f>190673.29+96000</f>
        <v>286673.29000000004</v>
      </c>
      <c r="D80" s="8"/>
    </row>
    <row r="81" spans="1:4" ht="23.25" customHeight="1">
      <c r="A81" s="42" t="s">
        <v>137</v>
      </c>
      <c r="B81" s="6" t="s">
        <v>21</v>
      </c>
      <c r="C81" s="7">
        <v>4398611.9</v>
      </c>
      <c r="D81" s="8"/>
    </row>
    <row r="82" spans="1:4" ht="23.25" customHeight="1">
      <c r="A82" s="42" t="s">
        <v>142</v>
      </c>
      <c r="B82" s="6" t="s">
        <v>22</v>
      </c>
      <c r="C82" s="7">
        <v>2000000</v>
      </c>
      <c r="D82" s="8"/>
    </row>
    <row r="83" spans="1:4" ht="23.25" customHeight="1">
      <c r="A83" s="42" t="s">
        <v>237</v>
      </c>
      <c r="B83" s="6" t="s">
        <v>89</v>
      </c>
      <c r="C83" s="7">
        <v>1349652.97</v>
      </c>
      <c r="D83" s="8"/>
    </row>
    <row r="84" spans="1:4" ht="23.25" customHeight="1">
      <c r="A84" s="42" t="s">
        <v>135</v>
      </c>
      <c r="B84" s="6" t="s">
        <v>136</v>
      </c>
      <c r="C84" s="7">
        <v>792</v>
      </c>
      <c r="D84" s="8"/>
    </row>
    <row r="85" spans="1:4" ht="23.25" customHeight="1">
      <c r="A85" s="42" t="s">
        <v>110</v>
      </c>
      <c r="B85" s="6" t="s">
        <v>111</v>
      </c>
      <c r="C85" s="7">
        <v>18844</v>
      </c>
      <c r="D85" s="8"/>
    </row>
    <row r="86" spans="1:4" ht="23.25" customHeight="1">
      <c r="A86" s="42" t="s">
        <v>14</v>
      </c>
      <c r="B86" s="6" t="s">
        <v>32</v>
      </c>
      <c r="C86" s="7">
        <v>775201</v>
      </c>
      <c r="D86" s="8"/>
    </row>
    <row r="87" spans="1:4" ht="23.25" customHeight="1">
      <c r="A87" s="42" t="s">
        <v>6</v>
      </c>
      <c r="B87" s="6" t="s">
        <v>24</v>
      </c>
      <c r="C87" s="7">
        <v>2092884</v>
      </c>
      <c r="D87" s="8"/>
    </row>
    <row r="88" spans="1:4" ht="23.25" customHeight="1">
      <c r="A88" s="42" t="s">
        <v>7</v>
      </c>
      <c r="B88" s="6" t="s">
        <v>25</v>
      </c>
      <c r="C88" s="7">
        <v>1854329</v>
      </c>
      <c r="D88" s="8"/>
    </row>
    <row r="89" spans="1:4" ht="23.25" customHeight="1">
      <c r="A89" s="42" t="s">
        <v>8</v>
      </c>
      <c r="B89" s="6" t="s">
        <v>26</v>
      </c>
      <c r="C89" s="7">
        <v>1992589.5</v>
      </c>
      <c r="D89" s="8"/>
    </row>
    <row r="90" spans="1:4" ht="23.25" customHeight="1">
      <c r="A90" s="42" t="s">
        <v>9</v>
      </c>
      <c r="B90" s="6" t="s">
        <v>27</v>
      </c>
      <c r="C90" s="7">
        <v>1882267.62</v>
      </c>
      <c r="D90" s="8"/>
    </row>
    <row r="91" spans="1:4" ht="23.25" customHeight="1">
      <c r="A91" s="42" t="s">
        <v>10</v>
      </c>
      <c r="B91" s="6" t="s">
        <v>28</v>
      </c>
      <c r="C91" s="7">
        <v>1473234.64</v>
      </c>
      <c r="D91" s="8"/>
    </row>
    <row r="92" spans="1:4" ht="23.25" customHeight="1">
      <c r="A92" s="42" t="s">
        <v>11</v>
      </c>
      <c r="B92" s="6" t="s">
        <v>29</v>
      </c>
      <c r="C92" s="7">
        <v>291641.01</v>
      </c>
      <c r="D92" s="8"/>
    </row>
    <row r="93" spans="1:4" ht="23.25" customHeight="1">
      <c r="A93" s="42" t="s">
        <v>16</v>
      </c>
      <c r="B93" s="6" t="s">
        <v>34</v>
      </c>
      <c r="C93" s="7">
        <v>1329182</v>
      </c>
      <c r="D93" s="8"/>
    </row>
    <row r="94" spans="1:4" ht="23.25" customHeight="1">
      <c r="A94" s="42" t="s">
        <v>12</v>
      </c>
      <c r="B94" s="6" t="s">
        <v>30</v>
      </c>
      <c r="C94" s="7">
        <v>168200</v>
      </c>
      <c r="D94" s="8"/>
    </row>
    <row r="95" spans="1:4" ht="23.25" customHeight="1">
      <c r="A95" s="42" t="s">
        <v>15</v>
      </c>
      <c r="B95" s="6" t="s">
        <v>33</v>
      </c>
      <c r="C95" s="7">
        <v>2527500</v>
      </c>
      <c r="D95" s="8"/>
    </row>
    <row r="96" spans="1:4" ht="23.25" customHeight="1">
      <c r="A96" s="42" t="s">
        <v>138</v>
      </c>
      <c r="B96" s="6" t="s">
        <v>65</v>
      </c>
      <c r="C96" s="7">
        <v>1158000</v>
      </c>
      <c r="D96" s="8"/>
    </row>
    <row r="97" spans="1:4" ht="23.25" customHeight="1">
      <c r="A97" s="142" t="s">
        <v>220</v>
      </c>
      <c r="B97" s="6" t="s">
        <v>65</v>
      </c>
      <c r="C97" s="7">
        <v>146334</v>
      </c>
      <c r="D97" s="8"/>
    </row>
    <row r="98" spans="1:4" ht="23.25" customHeight="1">
      <c r="A98" s="42" t="s">
        <v>238</v>
      </c>
      <c r="B98" s="6" t="s">
        <v>65</v>
      </c>
      <c r="C98" s="7">
        <v>49500</v>
      </c>
      <c r="D98" s="8"/>
    </row>
    <row r="99" spans="1:4" ht="23.25" customHeight="1">
      <c r="A99" s="42" t="s">
        <v>239</v>
      </c>
      <c r="B99" s="6" t="s">
        <v>65</v>
      </c>
      <c r="C99" s="7">
        <v>40000</v>
      </c>
      <c r="D99" s="8"/>
    </row>
    <row r="100" spans="1:4" ht="23.25" customHeight="1">
      <c r="A100" s="42" t="s">
        <v>139</v>
      </c>
      <c r="B100" s="6" t="s">
        <v>88</v>
      </c>
      <c r="C100" s="7"/>
      <c r="D100" s="8">
        <v>116690.99</v>
      </c>
    </row>
    <row r="101" spans="1:4" ht="23.25" customHeight="1">
      <c r="A101" s="42" t="s">
        <v>18</v>
      </c>
      <c r="B101" s="6" t="s">
        <v>35</v>
      </c>
      <c r="C101" s="7"/>
      <c r="D101" s="8">
        <v>24203974.17</v>
      </c>
    </row>
    <row r="102" spans="1:4" ht="23.25" customHeight="1">
      <c r="A102" s="42" t="s">
        <v>19</v>
      </c>
      <c r="B102" s="6" t="s">
        <v>37</v>
      </c>
      <c r="C102" s="7"/>
      <c r="D102" s="8">
        <v>323853.45</v>
      </c>
    </row>
    <row r="103" spans="1:4" ht="23.25" customHeight="1">
      <c r="A103" s="42" t="s">
        <v>112</v>
      </c>
      <c r="B103" s="6" t="s">
        <v>113</v>
      </c>
      <c r="C103" s="7"/>
      <c r="D103" s="8">
        <v>4132124.66</v>
      </c>
    </row>
    <row r="104" spans="1:4" ht="23.25" customHeight="1">
      <c r="A104" s="42" t="s">
        <v>140</v>
      </c>
      <c r="B104" s="6" t="s">
        <v>36</v>
      </c>
      <c r="C104" s="7"/>
      <c r="D104" s="8">
        <v>475822.67</v>
      </c>
    </row>
    <row r="105" spans="1:4" ht="23.25" customHeight="1">
      <c r="A105" s="42" t="s">
        <v>17</v>
      </c>
      <c r="B105" s="6"/>
      <c r="C105" s="7"/>
      <c r="D105" s="8">
        <v>1372689.06</v>
      </c>
    </row>
    <row r="106" spans="1:4" ht="14.25" customHeight="1">
      <c r="A106" s="43"/>
      <c r="B106" s="9"/>
      <c r="C106" s="10"/>
      <c r="D106" s="11"/>
    </row>
    <row r="107" spans="1:6" ht="24.75" thickBot="1">
      <c r="A107" s="5"/>
      <c r="B107" s="12"/>
      <c r="C107" s="13">
        <f>SUM(C78:C106)</f>
        <v>30625155.000000007</v>
      </c>
      <c r="D107" s="14">
        <f>SUM(D78:D106)</f>
        <v>30625155</v>
      </c>
      <c r="F107" s="85">
        <f>C107-D107</f>
        <v>0</v>
      </c>
    </row>
    <row r="108" spans="1:4" ht="24" customHeight="1" thickTop="1">
      <c r="A108" s="5"/>
      <c r="B108" s="12"/>
      <c r="C108" s="15"/>
      <c r="D108" s="15"/>
    </row>
    <row r="109" ht="3.75" customHeight="1" hidden="1"/>
    <row r="110" spans="1:5" ht="21.75">
      <c r="A110" s="225" t="s">
        <v>214</v>
      </c>
      <c r="B110" s="225"/>
      <c r="C110" s="225"/>
      <c r="D110" s="225"/>
      <c r="E110" s="225"/>
    </row>
    <row r="111" spans="1:4" ht="18.75" customHeight="1">
      <c r="A111" s="225" t="s">
        <v>222</v>
      </c>
      <c r="B111" s="225"/>
      <c r="C111" s="225"/>
      <c r="D111" s="225"/>
    </row>
    <row r="112" spans="1:4" ht="19.5" customHeight="1">
      <c r="A112" s="225" t="s">
        <v>223</v>
      </c>
      <c r="B112" s="225"/>
      <c r="C112" s="225"/>
      <c r="D112" s="225"/>
    </row>
    <row r="113" spans="1:5" ht="19.5" customHeight="1">
      <c r="A113" s="226" t="s">
        <v>0</v>
      </c>
      <c r="B113" s="226"/>
      <c r="C113" s="226"/>
      <c r="D113" s="226"/>
      <c r="E113" s="226"/>
    </row>
    <row r="114" spans="1:5" ht="15" customHeight="1">
      <c r="A114" s="226" t="s">
        <v>90</v>
      </c>
      <c r="B114" s="226"/>
      <c r="C114" s="226"/>
      <c r="D114" s="226"/>
      <c r="E114" s="226"/>
    </row>
    <row r="115" spans="1:5" ht="18.75" customHeight="1">
      <c r="A115" s="226" t="s">
        <v>248</v>
      </c>
      <c r="B115" s="226"/>
      <c r="C115" s="226"/>
      <c r="D115" s="226"/>
      <c r="E115" s="226"/>
    </row>
    <row r="116" spans="1:5" ht="21.75" customHeight="1">
      <c r="A116" s="144" t="s">
        <v>1</v>
      </c>
      <c r="B116" s="144" t="s">
        <v>2</v>
      </c>
      <c r="C116" s="145" t="s">
        <v>38</v>
      </c>
      <c r="D116" s="145" t="s">
        <v>3</v>
      </c>
      <c r="E116" s="4"/>
    </row>
    <row r="117" spans="1:4" ht="18.75" customHeight="1">
      <c r="A117" s="183" t="s">
        <v>258</v>
      </c>
      <c r="B117" s="184" t="s">
        <v>20</v>
      </c>
      <c r="C117" s="7">
        <v>0</v>
      </c>
      <c r="D117" s="8"/>
    </row>
    <row r="118" spans="1:4" ht="21.75" customHeight="1">
      <c r="A118" s="42" t="s">
        <v>130</v>
      </c>
      <c r="B118" s="6" t="s">
        <v>21</v>
      </c>
      <c r="C118" s="7">
        <v>4528281.07</v>
      </c>
      <c r="D118" s="8"/>
    </row>
    <row r="119" spans="1:4" ht="21.75" customHeight="1">
      <c r="A119" s="42" t="s">
        <v>131</v>
      </c>
      <c r="B119" s="6" t="s">
        <v>21</v>
      </c>
      <c r="C119" s="7">
        <v>286965.39</v>
      </c>
      <c r="D119" s="8"/>
    </row>
    <row r="120" spans="1:4" ht="21.75" customHeight="1">
      <c r="A120" s="42" t="s">
        <v>137</v>
      </c>
      <c r="B120" s="6" t="s">
        <v>21</v>
      </c>
      <c r="C120" s="7">
        <v>4068209.29</v>
      </c>
      <c r="D120" s="8"/>
    </row>
    <row r="121" spans="1:4" ht="21.75" customHeight="1">
      <c r="A121" s="42" t="s">
        <v>142</v>
      </c>
      <c r="B121" s="6" t="s">
        <v>22</v>
      </c>
      <c r="C121" s="7">
        <v>3000000</v>
      </c>
      <c r="D121" s="8"/>
    </row>
    <row r="122" spans="1:4" ht="21" customHeight="1">
      <c r="A122" s="42" t="s">
        <v>255</v>
      </c>
      <c r="B122" s="6" t="s">
        <v>89</v>
      </c>
      <c r="C122" s="7">
        <v>0</v>
      </c>
      <c r="D122" s="8"/>
    </row>
    <row r="123" spans="1:4" ht="21.75" customHeight="1">
      <c r="A123" s="42" t="s">
        <v>135</v>
      </c>
      <c r="B123" s="6" t="s">
        <v>136</v>
      </c>
      <c r="C123" s="7">
        <v>792</v>
      </c>
      <c r="D123" s="8"/>
    </row>
    <row r="124" spans="1:4" ht="21.75" customHeight="1">
      <c r="A124" s="42" t="s">
        <v>110</v>
      </c>
      <c r="B124" s="6" t="s">
        <v>111</v>
      </c>
      <c r="C124" s="7">
        <v>18844</v>
      </c>
      <c r="D124" s="8"/>
    </row>
    <row r="125" spans="1:4" ht="21.75" customHeight="1">
      <c r="A125" s="42" t="s">
        <v>14</v>
      </c>
      <c r="B125" s="6" t="s">
        <v>32</v>
      </c>
      <c r="C125" s="7">
        <v>817341</v>
      </c>
      <c r="D125" s="8"/>
    </row>
    <row r="126" spans="1:4" ht="21.75" customHeight="1">
      <c r="A126" s="42" t="s">
        <v>6</v>
      </c>
      <c r="B126" s="6" t="s">
        <v>24</v>
      </c>
      <c r="C126" s="7">
        <v>2277094</v>
      </c>
      <c r="D126" s="8"/>
    </row>
    <row r="127" spans="1:4" ht="21.75" customHeight="1">
      <c r="A127" s="42" t="s">
        <v>7</v>
      </c>
      <c r="B127" s="6" t="s">
        <v>25</v>
      </c>
      <c r="C127" s="7">
        <v>1747629</v>
      </c>
      <c r="D127" s="8"/>
    </row>
    <row r="128" spans="1:4" ht="21.75" customHeight="1">
      <c r="A128" s="42" t="s">
        <v>8</v>
      </c>
      <c r="B128" s="6" t="s">
        <v>26</v>
      </c>
      <c r="C128" s="7">
        <v>2050797.5</v>
      </c>
      <c r="D128" s="8"/>
    </row>
    <row r="129" spans="1:4" ht="21.75" customHeight="1">
      <c r="A129" s="42" t="s">
        <v>9</v>
      </c>
      <c r="B129" s="6" t="s">
        <v>27</v>
      </c>
      <c r="C129" s="7">
        <v>2517559.64</v>
      </c>
      <c r="D129" s="8"/>
    </row>
    <row r="130" spans="1:4" ht="21.75" customHeight="1">
      <c r="A130" s="42" t="s">
        <v>10</v>
      </c>
      <c r="B130" s="6" t="s">
        <v>28</v>
      </c>
      <c r="C130" s="7">
        <v>1854888.96</v>
      </c>
      <c r="D130" s="8"/>
    </row>
    <row r="131" spans="1:4" ht="21.75" customHeight="1">
      <c r="A131" s="42" t="s">
        <v>11</v>
      </c>
      <c r="B131" s="6" t="s">
        <v>29</v>
      </c>
      <c r="C131" s="7">
        <v>324727.41</v>
      </c>
      <c r="D131" s="8"/>
    </row>
    <row r="132" spans="1:4" ht="21.75" customHeight="1">
      <c r="A132" s="42" t="s">
        <v>16</v>
      </c>
      <c r="B132" s="6" t="s">
        <v>34</v>
      </c>
      <c r="C132" s="7">
        <v>1881782</v>
      </c>
      <c r="D132" s="8"/>
    </row>
    <row r="133" spans="1:4" ht="21.75" customHeight="1">
      <c r="A133" s="42" t="s">
        <v>12</v>
      </c>
      <c r="B133" s="6" t="s">
        <v>30</v>
      </c>
      <c r="C133" s="7">
        <v>168200</v>
      </c>
      <c r="D133" s="8"/>
    </row>
    <row r="134" spans="1:4" ht="21.75" customHeight="1">
      <c r="A134" s="42" t="s">
        <v>15</v>
      </c>
      <c r="B134" s="6" t="s">
        <v>33</v>
      </c>
      <c r="C134" s="7">
        <v>3769000</v>
      </c>
      <c r="D134" s="8"/>
    </row>
    <row r="135" spans="1:4" ht="21.75" customHeight="1">
      <c r="A135" s="42" t="s">
        <v>138</v>
      </c>
      <c r="B135" s="6" t="s">
        <v>65</v>
      </c>
      <c r="C135" s="7">
        <v>1734000</v>
      </c>
      <c r="D135" s="8"/>
    </row>
    <row r="136" spans="1:4" ht="21.75" customHeight="1">
      <c r="A136" s="142" t="s">
        <v>220</v>
      </c>
      <c r="B136" s="6" t="s">
        <v>65</v>
      </c>
      <c r="C136" s="7">
        <v>146334</v>
      </c>
      <c r="D136" s="8"/>
    </row>
    <row r="137" spans="1:4" ht="21.75" customHeight="1">
      <c r="A137" s="42" t="s">
        <v>238</v>
      </c>
      <c r="B137" s="6" t="s">
        <v>65</v>
      </c>
      <c r="C137" s="7">
        <v>49500</v>
      </c>
      <c r="D137" s="8"/>
    </row>
    <row r="138" spans="1:4" ht="21.75" customHeight="1">
      <c r="A138" s="42" t="s">
        <v>239</v>
      </c>
      <c r="B138" s="6" t="s">
        <v>65</v>
      </c>
      <c r="C138" s="7">
        <v>40000</v>
      </c>
      <c r="D138" s="8"/>
    </row>
    <row r="139" spans="1:4" ht="21.75" customHeight="1">
      <c r="A139" s="142" t="s">
        <v>249</v>
      </c>
      <c r="B139" s="6" t="s">
        <v>65</v>
      </c>
      <c r="C139" s="7">
        <v>35647.85</v>
      </c>
      <c r="D139" s="8"/>
    </row>
    <row r="140" spans="1:4" ht="21.75" customHeight="1">
      <c r="A140" s="42" t="s">
        <v>247</v>
      </c>
      <c r="B140" s="6" t="s">
        <v>65</v>
      </c>
      <c r="C140" s="7">
        <v>48146</v>
      </c>
      <c r="D140" s="8"/>
    </row>
    <row r="141" spans="1:4" ht="21.75" customHeight="1">
      <c r="A141" s="42" t="s">
        <v>256</v>
      </c>
      <c r="B141" s="6" t="s">
        <v>65</v>
      </c>
      <c r="C141" s="7">
        <v>308484</v>
      </c>
      <c r="D141" s="8"/>
    </row>
    <row r="142" spans="1:4" ht="21.75" customHeight="1">
      <c r="A142" s="42" t="s">
        <v>139</v>
      </c>
      <c r="B142" s="6" t="s">
        <v>88</v>
      </c>
      <c r="C142" s="7"/>
      <c r="D142" s="8">
        <v>116690.99</v>
      </c>
    </row>
    <row r="143" spans="1:4" ht="21.75" customHeight="1">
      <c r="A143" s="42" t="s">
        <v>18</v>
      </c>
      <c r="B143" s="6" t="s">
        <v>35</v>
      </c>
      <c r="C143" s="7"/>
      <c r="D143" s="8">
        <f>25291110.66-561.22</f>
        <v>25290549.44</v>
      </c>
    </row>
    <row r="144" spans="1:4" ht="21.75" customHeight="1">
      <c r="A144" s="42" t="s">
        <v>19</v>
      </c>
      <c r="B144" s="6" t="s">
        <v>37</v>
      </c>
      <c r="C144" s="7"/>
      <c r="D144" s="8">
        <v>323853.45</v>
      </c>
    </row>
    <row r="145" spans="1:4" ht="21.75" customHeight="1">
      <c r="A145" s="42" t="s">
        <v>112</v>
      </c>
      <c r="B145" s="6" t="s">
        <v>113</v>
      </c>
      <c r="C145" s="7"/>
      <c r="D145" s="8">
        <v>4132124.66</v>
      </c>
    </row>
    <row r="146" spans="1:4" ht="21.75" customHeight="1">
      <c r="A146" s="42" t="s">
        <v>140</v>
      </c>
      <c r="B146" s="6" t="s">
        <v>36</v>
      </c>
      <c r="C146" s="7"/>
      <c r="D146" s="8">
        <f>437754.29+561.22</f>
        <v>438315.50999999995</v>
      </c>
    </row>
    <row r="147" spans="1:4" ht="21.75" customHeight="1">
      <c r="A147" s="42" t="s">
        <v>17</v>
      </c>
      <c r="B147" s="6"/>
      <c r="C147" s="7"/>
      <c r="D147" s="8">
        <v>1372689.06</v>
      </c>
    </row>
    <row r="148" spans="1:4" ht="3.75" customHeight="1">
      <c r="A148" s="43"/>
      <c r="B148" s="9"/>
      <c r="C148" s="10"/>
      <c r="D148" s="11"/>
    </row>
    <row r="149" spans="1:6" ht="21.75" customHeight="1" thickBot="1">
      <c r="A149" s="5"/>
      <c r="B149" s="12"/>
      <c r="C149" s="13">
        <f>SUM(C117:C148)</f>
        <v>31674223.110000003</v>
      </c>
      <c r="D149" s="14">
        <f>SUM(D117:D148)</f>
        <v>31674223.11</v>
      </c>
      <c r="F149" s="85">
        <f>C149-D149</f>
        <v>0</v>
      </c>
    </row>
    <row r="150" spans="1:4" ht="18.75" customHeight="1" thickTop="1">
      <c r="A150" s="5"/>
      <c r="B150" s="12"/>
      <c r="C150" s="15"/>
      <c r="D150" s="15"/>
    </row>
    <row r="151" ht="3.75" customHeight="1" hidden="1"/>
    <row r="152" spans="1:5" ht="21.75">
      <c r="A152" s="225" t="s">
        <v>214</v>
      </c>
      <c r="B152" s="225"/>
      <c r="C152" s="225"/>
      <c r="D152" s="225"/>
      <c r="E152" s="225"/>
    </row>
    <row r="153" spans="1:4" ht="18.75" customHeight="1">
      <c r="A153" s="225" t="s">
        <v>222</v>
      </c>
      <c r="B153" s="225"/>
      <c r="C153" s="225"/>
      <c r="D153" s="225"/>
    </row>
    <row r="154" spans="1:4" ht="19.5" customHeight="1">
      <c r="A154" s="225" t="s">
        <v>223</v>
      </c>
      <c r="B154" s="225"/>
      <c r="C154" s="225"/>
      <c r="D154" s="225"/>
    </row>
    <row r="155" spans="1:5" ht="23.25">
      <c r="A155" s="227" t="s">
        <v>0</v>
      </c>
      <c r="B155" s="227"/>
      <c r="C155" s="227"/>
      <c r="D155" s="227"/>
      <c r="E155" s="227"/>
    </row>
    <row r="156" spans="1:5" ht="23.25">
      <c r="A156" s="227" t="s">
        <v>90</v>
      </c>
      <c r="B156" s="227"/>
      <c r="C156" s="227"/>
      <c r="D156" s="227"/>
      <c r="E156" s="227"/>
    </row>
    <row r="157" spans="1:5" ht="23.25">
      <c r="A157" s="227" t="s">
        <v>119</v>
      </c>
      <c r="B157" s="227"/>
      <c r="C157" s="227"/>
      <c r="D157" s="227"/>
      <c r="E157" s="227"/>
    </row>
    <row r="158" spans="1:5" ht="23.25">
      <c r="A158" s="2" t="s">
        <v>1</v>
      </c>
      <c r="B158" s="2" t="s">
        <v>2</v>
      </c>
      <c r="C158" s="3" t="s">
        <v>38</v>
      </c>
      <c r="D158" s="3" t="s">
        <v>3</v>
      </c>
      <c r="E158" s="4"/>
    </row>
    <row r="159" spans="1:4" ht="24">
      <c r="A159" s="41" t="s">
        <v>4</v>
      </c>
      <c r="B159" s="6" t="s">
        <v>20</v>
      </c>
      <c r="C159" s="7">
        <v>1527</v>
      </c>
      <c r="D159" s="8"/>
    </row>
    <row r="160" spans="1:4" ht="24">
      <c r="A160" s="42" t="s">
        <v>70</v>
      </c>
      <c r="B160" s="6" t="s">
        <v>21</v>
      </c>
      <c r="C160" s="7">
        <f>7243499.6+439274.38+10484.93</f>
        <v>7693258.909999999</v>
      </c>
      <c r="D160" s="8"/>
    </row>
    <row r="161" spans="1:4" ht="24">
      <c r="A161" s="42" t="s">
        <v>71</v>
      </c>
      <c r="B161" s="6" t="s">
        <v>22</v>
      </c>
      <c r="C161" s="7">
        <v>2639868.79</v>
      </c>
      <c r="D161" s="8"/>
    </row>
    <row r="162" spans="1:4" ht="24">
      <c r="A162" s="42" t="s">
        <v>87</v>
      </c>
      <c r="B162" s="6" t="s">
        <v>89</v>
      </c>
      <c r="C162" s="7">
        <v>580577.12</v>
      </c>
      <c r="D162" s="8"/>
    </row>
    <row r="163" spans="1:4" ht="24">
      <c r="A163" s="42" t="s">
        <v>110</v>
      </c>
      <c r="B163" s="6" t="s">
        <v>111</v>
      </c>
      <c r="C163" s="7">
        <v>18102</v>
      </c>
      <c r="D163" s="8"/>
    </row>
    <row r="164" spans="1:4" ht="24">
      <c r="A164" s="42" t="s">
        <v>68</v>
      </c>
      <c r="B164" s="6" t="s">
        <v>69</v>
      </c>
      <c r="C164" s="7">
        <v>0</v>
      </c>
      <c r="D164" s="8"/>
    </row>
    <row r="165" spans="1:4" ht="24">
      <c r="A165" s="42" t="s">
        <v>5</v>
      </c>
      <c r="B165" s="6" t="s">
        <v>23</v>
      </c>
      <c r="C165" s="7">
        <v>0</v>
      </c>
      <c r="D165" s="8"/>
    </row>
    <row r="166" spans="1:4" ht="24">
      <c r="A166" s="42" t="s">
        <v>14</v>
      </c>
      <c r="B166" s="6" t="s">
        <v>32</v>
      </c>
      <c r="C166" s="7">
        <v>184124</v>
      </c>
      <c r="D166" s="8"/>
    </row>
    <row r="167" spans="1:4" ht="24">
      <c r="A167" s="42" t="s">
        <v>6</v>
      </c>
      <c r="B167" s="6" t="s">
        <v>24</v>
      </c>
      <c r="C167" s="7">
        <v>322780</v>
      </c>
      <c r="D167" s="8"/>
    </row>
    <row r="168" spans="1:4" ht="24">
      <c r="A168" s="42" t="s">
        <v>7</v>
      </c>
      <c r="B168" s="6" t="s">
        <v>25</v>
      </c>
      <c r="C168" s="7">
        <v>132300</v>
      </c>
      <c r="D168" s="8"/>
    </row>
    <row r="169" spans="1:4" ht="24">
      <c r="A169" s="42" t="s">
        <v>8</v>
      </c>
      <c r="B169" s="6" t="s">
        <v>26</v>
      </c>
      <c r="C169" s="7">
        <v>560518.55</v>
      </c>
      <c r="D169" s="8"/>
    </row>
    <row r="170" spans="1:4" ht="24">
      <c r="A170" s="42" t="s">
        <v>9</v>
      </c>
      <c r="B170" s="6" t="s">
        <v>27</v>
      </c>
      <c r="C170" s="7">
        <v>224943.5</v>
      </c>
      <c r="D170" s="8"/>
    </row>
    <row r="171" spans="1:4" ht="24">
      <c r="A171" s="42" t="s">
        <v>10</v>
      </c>
      <c r="B171" s="6" t="s">
        <v>28</v>
      </c>
      <c r="C171" s="7">
        <v>428468.12</v>
      </c>
      <c r="D171" s="8"/>
    </row>
    <row r="172" spans="1:4" ht="24">
      <c r="A172" s="42" t="s">
        <v>11</v>
      </c>
      <c r="B172" s="6" t="s">
        <v>29</v>
      </c>
      <c r="C172" s="7">
        <v>37492.96</v>
      </c>
      <c r="D172" s="8"/>
    </row>
    <row r="173" spans="1:4" ht="24">
      <c r="A173" s="42" t="s">
        <v>16</v>
      </c>
      <c r="B173" s="6" t="s">
        <v>34</v>
      </c>
      <c r="C173" s="7">
        <v>39700</v>
      </c>
      <c r="D173" s="8"/>
    </row>
    <row r="174" spans="1:4" ht="24">
      <c r="A174" s="42" t="s">
        <v>12</v>
      </c>
      <c r="B174" s="6" t="s">
        <v>30</v>
      </c>
      <c r="C174" s="7">
        <v>0</v>
      </c>
      <c r="D174" s="8"/>
    </row>
    <row r="175" spans="1:4" ht="24">
      <c r="A175" s="42" t="s">
        <v>13</v>
      </c>
      <c r="B175" s="6" t="s">
        <v>31</v>
      </c>
      <c r="C175" s="7">
        <v>0</v>
      </c>
      <c r="D175" s="8"/>
    </row>
    <row r="176" spans="1:4" ht="24">
      <c r="A176" s="42" t="s">
        <v>91</v>
      </c>
      <c r="B176" s="6" t="s">
        <v>92</v>
      </c>
      <c r="C176" s="7">
        <v>0</v>
      </c>
      <c r="D176" s="8"/>
    </row>
    <row r="177" spans="1:4" ht="24">
      <c r="A177" s="42" t="s">
        <v>118</v>
      </c>
      <c r="B177" s="6" t="s">
        <v>88</v>
      </c>
      <c r="C177" s="7"/>
      <c r="D177" s="8">
        <f>50269.61</f>
        <v>50269.61</v>
      </c>
    </row>
    <row r="178" spans="1:4" ht="24">
      <c r="A178" s="42" t="s">
        <v>18</v>
      </c>
      <c r="B178" s="6" t="s">
        <v>35</v>
      </c>
      <c r="C178" s="7"/>
      <c r="D178" s="8">
        <v>3258345.07</v>
      </c>
    </row>
    <row r="179" spans="1:4" ht="24">
      <c r="A179" s="42" t="s">
        <v>19</v>
      </c>
      <c r="B179" s="6" t="s">
        <v>37</v>
      </c>
      <c r="C179" s="7"/>
      <c r="D179" s="8">
        <v>2499940.52</v>
      </c>
    </row>
    <row r="180" spans="1:4" ht="24">
      <c r="A180" s="42" t="s">
        <v>112</v>
      </c>
      <c r="B180" s="6" t="s">
        <v>113</v>
      </c>
      <c r="C180" s="7"/>
      <c r="D180" s="8">
        <v>2183055.52</v>
      </c>
    </row>
    <row r="181" spans="1:4" ht="24">
      <c r="A181" s="42" t="s">
        <v>117</v>
      </c>
      <c r="B181" s="6" t="s">
        <v>36</v>
      </c>
      <c r="C181" s="7"/>
      <c r="D181" s="8">
        <f>898.2+1077.84+13833.26+438713.16+231743.9+20064.95</f>
        <v>706331.3099999999</v>
      </c>
    </row>
    <row r="182" spans="1:4" ht="24">
      <c r="A182" s="42" t="s">
        <v>17</v>
      </c>
      <c r="B182" s="6"/>
      <c r="C182" s="7"/>
      <c r="D182" s="8">
        <v>4165718.92</v>
      </c>
    </row>
    <row r="183" spans="1:4" ht="24">
      <c r="A183" s="43"/>
      <c r="B183" s="9"/>
      <c r="C183" s="10"/>
      <c r="D183" s="11"/>
    </row>
    <row r="184" spans="1:6" ht="24.75" thickBot="1">
      <c r="A184" s="5"/>
      <c r="B184" s="12"/>
      <c r="C184" s="13">
        <f>SUM(C159:C183)</f>
        <v>12863660.95</v>
      </c>
      <c r="D184" s="14">
        <f>SUM(D159:D183)</f>
        <v>12863660.95</v>
      </c>
      <c r="F184" s="85">
        <f>C184-D184</f>
        <v>0</v>
      </c>
    </row>
    <row r="185" spans="1:4" ht="24.75" thickTop="1">
      <c r="A185" s="5"/>
      <c r="B185" s="12"/>
      <c r="C185" s="15"/>
      <c r="D185" s="15"/>
    </row>
    <row r="186" spans="1:4" ht="24">
      <c r="A186" s="5"/>
      <c r="B186" s="12"/>
      <c r="C186" s="15"/>
      <c r="D186" s="15"/>
    </row>
    <row r="188" spans="1:5" ht="21.75">
      <c r="A188" s="225" t="s">
        <v>83</v>
      </c>
      <c r="B188" s="225"/>
      <c r="C188" s="225"/>
      <c r="D188" s="225"/>
      <c r="E188" s="225"/>
    </row>
    <row r="189" spans="1:4" ht="21.75">
      <c r="A189" s="225" t="s">
        <v>109</v>
      </c>
      <c r="B189" s="225"/>
      <c r="C189" s="225"/>
      <c r="D189" s="225"/>
    </row>
    <row r="190" spans="1:4" ht="21.75">
      <c r="A190" s="225" t="s">
        <v>114</v>
      </c>
      <c r="B190" s="225"/>
      <c r="C190" s="225"/>
      <c r="D190" s="225"/>
    </row>
    <row r="191" spans="1:5" ht="23.25">
      <c r="A191" s="227" t="s">
        <v>0</v>
      </c>
      <c r="B191" s="227"/>
      <c r="C191" s="227"/>
      <c r="D191" s="227"/>
      <c r="E191" s="227"/>
    </row>
    <row r="192" spans="1:5" ht="23.25">
      <c r="A192" s="227" t="s">
        <v>90</v>
      </c>
      <c r="B192" s="227"/>
      <c r="C192" s="227"/>
      <c r="D192" s="227"/>
      <c r="E192" s="227"/>
    </row>
    <row r="193" spans="1:5" ht="23.25">
      <c r="A193" s="227" t="s">
        <v>120</v>
      </c>
      <c r="B193" s="227"/>
      <c r="C193" s="227"/>
      <c r="D193" s="227"/>
      <c r="E193" s="227"/>
    </row>
    <row r="194" spans="1:5" ht="23.25">
      <c r="A194" s="2" t="s">
        <v>1</v>
      </c>
      <c r="B194" s="2" t="s">
        <v>2</v>
      </c>
      <c r="C194" s="3" t="s">
        <v>38</v>
      </c>
      <c r="D194" s="3" t="s">
        <v>3</v>
      </c>
      <c r="E194" s="4"/>
    </row>
    <row r="195" spans="1:4" ht="24">
      <c r="A195" s="41" t="s">
        <v>4</v>
      </c>
      <c r="B195" s="6" t="s">
        <v>20</v>
      </c>
      <c r="C195" s="7">
        <v>0</v>
      </c>
      <c r="D195" s="8"/>
    </row>
    <row r="196" spans="1:4" ht="24">
      <c r="A196" s="42" t="s">
        <v>70</v>
      </c>
      <c r="B196" s="6" t="s">
        <v>21</v>
      </c>
      <c r="C196" s="7">
        <f>10472819.84+339274.38+10484.93</f>
        <v>10822579.15</v>
      </c>
      <c r="D196" s="8"/>
    </row>
    <row r="197" spans="1:4" ht="24">
      <c r="A197" s="42" t="s">
        <v>71</v>
      </c>
      <c r="B197" s="6" t="s">
        <v>22</v>
      </c>
      <c r="C197" s="7">
        <v>2639868.79</v>
      </c>
      <c r="D197" s="8"/>
    </row>
    <row r="198" spans="1:4" ht="24">
      <c r="A198" s="42" t="s">
        <v>87</v>
      </c>
      <c r="B198" s="6" t="s">
        <v>89</v>
      </c>
      <c r="C198" s="7">
        <v>0</v>
      </c>
      <c r="D198" s="8"/>
    </row>
    <row r="199" spans="1:4" ht="24">
      <c r="A199" s="42" t="s">
        <v>110</v>
      </c>
      <c r="B199" s="6" t="s">
        <v>111</v>
      </c>
      <c r="C199" s="7">
        <v>18102</v>
      </c>
      <c r="D199" s="8"/>
    </row>
    <row r="200" spans="1:4" ht="24">
      <c r="A200" s="42" t="s">
        <v>68</v>
      </c>
      <c r="B200" s="6" t="s">
        <v>69</v>
      </c>
      <c r="C200" s="7">
        <v>0</v>
      </c>
      <c r="D200" s="8"/>
    </row>
    <row r="201" spans="1:4" ht="24">
      <c r="A201" s="42" t="s">
        <v>5</v>
      </c>
      <c r="B201" s="6" t="s">
        <v>23</v>
      </c>
      <c r="C201" s="7">
        <v>0</v>
      </c>
      <c r="D201" s="8"/>
    </row>
    <row r="202" spans="1:4" ht="24">
      <c r="A202" s="42" t="s">
        <v>14</v>
      </c>
      <c r="B202" s="6" t="s">
        <v>32</v>
      </c>
      <c r="C202" s="7">
        <v>429736</v>
      </c>
      <c r="D202" s="8"/>
    </row>
    <row r="203" spans="1:4" ht="24">
      <c r="A203" s="42" t="s">
        <v>6</v>
      </c>
      <c r="B203" s="6" t="s">
        <v>24</v>
      </c>
      <c r="C203" s="7">
        <v>435820</v>
      </c>
      <c r="D203" s="8"/>
    </row>
    <row r="204" spans="1:4" ht="24">
      <c r="A204" s="42" t="s">
        <v>7</v>
      </c>
      <c r="B204" s="6" t="s">
        <v>25</v>
      </c>
      <c r="C204" s="7">
        <v>182280</v>
      </c>
      <c r="D204" s="8"/>
    </row>
    <row r="205" spans="1:4" ht="24">
      <c r="A205" s="42" t="s">
        <v>8</v>
      </c>
      <c r="B205" s="6" t="s">
        <v>26</v>
      </c>
      <c r="C205" s="7">
        <v>729522.55</v>
      </c>
      <c r="D205" s="8"/>
    </row>
    <row r="206" spans="1:4" ht="24">
      <c r="A206" s="42" t="s">
        <v>9</v>
      </c>
      <c r="B206" s="6" t="s">
        <v>27</v>
      </c>
      <c r="C206" s="7">
        <v>379784.5</v>
      </c>
      <c r="D206" s="8"/>
    </row>
    <row r="207" spans="1:4" ht="24">
      <c r="A207" s="42" t="s">
        <v>10</v>
      </c>
      <c r="B207" s="6" t="s">
        <v>28</v>
      </c>
      <c r="C207" s="7">
        <v>502634.22</v>
      </c>
      <c r="D207" s="8"/>
    </row>
    <row r="208" spans="1:4" ht="24">
      <c r="A208" s="42" t="s">
        <v>11</v>
      </c>
      <c r="B208" s="6" t="s">
        <v>29</v>
      </c>
      <c r="C208" s="7">
        <v>50759.58</v>
      </c>
      <c r="D208" s="8"/>
    </row>
    <row r="209" spans="1:4" ht="24">
      <c r="A209" s="42" t="s">
        <v>16</v>
      </c>
      <c r="B209" s="6" t="s">
        <v>34</v>
      </c>
      <c r="C209" s="7">
        <v>179700</v>
      </c>
      <c r="D209" s="8"/>
    </row>
    <row r="210" spans="1:4" ht="24">
      <c r="A210" s="42" t="s">
        <v>12</v>
      </c>
      <c r="B210" s="6" t="s">
        <v>30</v>
      </c>
      <c r="C210" s="7">
        <v>0</v>
      </c>
      <c r="D210" s="8"/>
    </row>
    <row r="211" spans="1:4" ht="24">
      <c r="A211" s="42" t="s">
        <v>13</v>
      </c>
      <c r="B211" s="6" t="s">
        <v>31</v>
      </c>
      <c r="C211" s="7">
        <v>0</v>
      </c>
      <c r="D211" s="8"/>
    </row>
    <row r="212" spans="1:4" ht="24">
      <c r="A212" s="42" t="s">
        <v>91</v>
      </c>
      <c r="B212" s="6" t="s">
        <v>92</v>
      </c>
      <c r="C212" s="7">
        <v>0</v>
      </c>
      <c r="D212" s="8"/>
    </row>
    <row r="213" spans="1:4" ht="24">
      <c r="A213" s="42" t="s">
        <v>118</v>
      </c>
      <c r="B213" s="6" t="s">
        <v>88</v>
      </c>
      <c r="C213" s="7"/>
      <c r="D213" s="8">
        <v>48469.61</v>
      </c>
    </row>
    <row r="214" spans="1:4" ht="24">
      <c r="A214" s="42" t="s">
        <v>18</v>
      </c>
      <c r="B214" s="6" t="s">
        <v>35</v>
      </c>
      <c r="C214" s="7"/>
      <c r="D214" s="8">
        <v>6881357.66</v>
      </c>
    </row>
    <row r="215" spans="1:4" ht="24">
      <c r="A215" s="42" t="s">
        <v>19</v>
      </c>
      <c r="B215" s="6" t="s">
        <v>37</v>
      </c>
      <c r="C215" s="7"/>
      <c r="D215" s="8">
        <v>2499940.52</v>
      </c>
    </row>
    <row r="216" spans="1:4" ht="24">
      <c r="A216" s="42" t="s">
        <v>112</v>
      </c>
      <c r="B216" s="6" t="s">
        <v>113</v>
      </c>
      <c r="C216" s="7"/>
      <c r="D216" s="8">
        <v>2183055.52</v>
      </c>
    </row>
    <row r="217" spans="1:4" ht="24">
      <c r="A217" s="42" t="s">
        <v>117</v>
      </c>
      <c r="B217" s="6" t="s">
        <v>36</v>
      </c>
      <c r="C217" s="7"/>
      <c r="D217" s="8">
        <f>173.7+208.44+1340.41+338713.16+231743.9+20064.95</f>
        <v>592244.5599999999</v>
      </c>
    </row>
    <row r="218" spans="1:4" ht="24">
      <c r="A218" s="42" t="s">
        <v>17</v>
      </c>
      <c r="B218" s="6"/>
      <c r="C218" s="7"/>
      <c r="D218" s="8">
        <v>4165718.92</v>
      </c>
    </row>
    <row r="219" spans="1:4" ht="24">
      <c r="A219" s="43"/>
      <c r="B219" s="9"/>
      <c r="C219" s="10"/>
      <c r="D219" s="11"/>
    </row>
    <row r="220" spans="1:6" ht="24.75" thickBot="1">
      <c r="A220" s="5"/>
      <c r="B220" s="12"/>
      <c r="C220" s="13">
        <f>SUM(C195:C219)</f>
        <v>16370786.790000003</v>
      </c>
      <c r="D220" s="14">
        <f>SUM(D195:D219)</f>
        <v>16370786.790000001</v>
      </c>
      <c r="F220" s="85">
        <f>C220-D220</f>
        <v>0</v>
      </c>
    </row>
    <row r="221" spans="1:4" ht="24.75" thickTop="1">
      <c r="A221" s="5"/>
      <c r="B221" s="12"/>
      <c r="C221" s="15"/>
      <c r="D221" s="15"/>
    </row>
    <row r="223" spans="1:5" ht="21.75">
      <c r="A223" s="225" t="s">
        <v>83</v>
      </c>
      <c r="B223" s="225"/>
      <c r="C223" s="225"/>
      <c r="D223" s="225"/>
      <c r="E223" s="225"/>
    </row>
    <row r="224" spans="1:4" ht="21.75">
      <c r="A224" s="225" t="s">
        <v>109</v>
      </c>
      <c r="B224" s="225"/>
      <c r="C224" s="225"/>
      <c r="D224" s="225"/>
    </row>
    <row r="225" spans="1:4" ht="21.75">
      <c r="A225" s="225" t="s">
        <v>114</v>
      </c>
      <c r="B225" s="225"/>
      <c r="C225" s="225"/>
      <c r="D225" s="225"/>
    </row>
    <row r="226" spans="1:4" ht="21.75">
      <c r="A226" s="80"/>
      <c r="B226" s="80"/>
      <c r="C226" s="80"/>
      <c r="D226" s="80"/>
    </row>
    <row r="227" spans="1:5" ht="23.25">
      <c r="A227" s="227" t="s">
        <v>0</v>
      </c>
      <c r="B227" s="227"/>
      <c r="C227" s="227"/>
      <c r="D227" s="227"/>
      <c r="E227" s="227"/>
    </row>
    <row r="228" spans="1:5" ht="23.25">
      <c r="A228" s="227" t="s">
        <v>90</v>
      </c>
      <c r="B228" s="227"/>
      <c r="C228" s="227"/>
      <c r="D228" s="227"/>
      <c r="E228" s="227"/>
    </row>
    <row r="229" spans="1:5" ht="23.25">
      <c r="A229" s="227" t="s">
        <v>122</v>
      </c>
      <c r="B229" s="227"/>
      <c r="C229" s="227"/>
      <c r="D229" s="227"/>
      <c r="E229" s="227"/>
    </row>
    <row r="230" spans="1:5" ht="23.25">
      <c r="A230" s="2" t="s">
        <v>1</v>
      </c>
      <c r="B230" s="2" t="s">
        <v>2</v>
      </c>
      <c r="C230" s="3" t="s">
        <v>38</v>
      </c>
      <c r="D230" s="3" t="s">
        <v>3</v>
      </c>
      <c r="E230" s="4"/>
    </row>
    <row r="231" spans="1:4" ht="24">
      <c r="A231" s="41" t="s">
        <v>4</v>
      </c>
      <c r="B231" s="6" t="s">
        <v>20</v>
      </c>
      <c r="C231" s="7">
        <v>0</v>
      </c>
      <c r="D231" s="8"/>
    </row>
    <row r="232" spans="1:4" ht="24">
      <c r="A232" s="42" t="s">
        <v>70</v>
      </c>
      <c r="B232" s="6" t="s">
        <v>21</v>
      </c>
      <c r="C232" s="7">
        <f>9206852.94+289274.38+10484.93</f>
        <v>9506612.25</v>
      </c>
      <c r="D232" s="8"/>
    </row>
    <row r="233" spans="1:4" ht="24">
      <c r="A233" s="42" t="s">
        <v>71</v>
      </c>
      <c r="B233" s="6" t="s">
        <v>22</v>
      </c>
      <c r="C233" s="7">
        <v>2639868.79</v>
      </c>
      <c r="D233" s="8"/>
    </row>
    <row r="234" spans="1:4" ht="24">
      <c r="A234" s="42" t="s">
        <v>87</v>
      </c>
      <c r="B234" s="6" t="s">
        <v>89</v>
      </c>
      <c r="C234" s="7">
        <v>206400</v>
      </c>
      <c r="D234" s="8"/>
    </row>
    <row r="235" spans="1:4" ht="24">
      <c r="A235" s="42" t="s">
        <v>110</v>
      </c>
      <c r="B235" s="6" t="s">
        <v>111</v>
      </c>
      <c r="C235" s="7">
        <v>18102</v>
      </c>
      <c r="D235" s="8"/>
    </row>
    <row r="236" spans="1:4" ht="24">
      <c r="A236" s="42" t="s">
        <v>68</v>
      </c>
      <c r="B236" s="6" t="s">
        <v>69</v>
      </c>
      <c r="C236" s="7">
        <v>0</v>
      </c>
      <c r="D236" s="8"/>
    </row>
    <row r="237" spans="1:4" ht="24">
      <c r="A237" s="42" t="s">
        <v>5</v>
      </c>
      <c r="B237" s="6" t="s">
        <v>23</v>
      </c>
      <c r="C237" s="7">
        <v>0</v>
      </c>
      <c r="D237" s="8"/>
    </row>
    <row r="238" spans="1:4" ht="24">
      <c r="A238" s="42" t="s">
        <v>14</v>
      </c>
      <c r="B238" s="6" t="s">
        <v>32</v>
      </c>
      <c r="C238" s="7">
        <v>434736</v>
      </c>
      <c r="D238" s="8"/>
    </row>
    <row r="239" spans="1:4" ht="24">
      <c r="A239" s="42" t="s">
        <v>6</v>
      </c>
      <c r="B239" s="6" t="s">
        <v>24</v>
      </c>
      <c r="C239" s="7">
        <v>557140</v>
      </c>
      <c r="D239" s="8"/>
    </row>
    <row r="240" spans="1:4" ht="24">
      <c r="A240" s="42" t="s">
        <v>7</v>
      </c>
      <c r="B240" s="6" t="s">
        <v>25</v>
      </c>
      <c r="C240" s="7">
        <v>232260</v>
      </c>
      <c r="D240" s="8"/>
    </row>
    <row r="241" spans="1:4" ht="24">
      <c r="A241" s="42" t="s">
        <v>8</v>
      </c>
      <c r="B241" s="6" t="s">
        <v>26</v>
      </c>
      <c r="C241" s="7">
        <v>898033.55</v>
      </c>
      <c r="D241" s="8"/>
    </row>
    <row r="242" spans="1:4" ht="24">
      <c r="A242" s="42" t="s">
        <v>9</v>
      </c>
      <c r="B242" s="6" t="s">
        <v>27</v>
      </c>
      <c r="C242" s="7">
        <v>476520.62</v>
      </c>
      <c r="D242" s="8"/>
    </row>
    <row r="243" spans="1:4" ht="24">
      <c r="A243" s="42" t="s">
        <v>10</v>
      </c>
      <c r="B243" s="6" t="s">
        <v>28</v>
      </c>
      <c r="C243" s="7">
        <v>620605.22</v>
      </c>
      <c r="D243" s="8"/>
    </row>
    <row r="244" spans="1:4" ht="24">
      <c r="A244" s="42" t="s">
        <v>11</v>
      </c>
      <c r="B244" s="6" t="s">
        <v>29</v>
      </c>
      <c r="C244" s="7">
        <v>65271.08</v>
      </c>
      <c r="D244" s="8"/>
    </row>
    <row r="245" spans="1:4" ht="24">
      <c r="A245" s="42" t="s">
        <v>16</v>
      </c>
      <c r="B245" s="6" t="s">
        <v>34</v>
      </c>
      <c r="C245" s="7">
        <v>289700</v>
      </c>
      <c r="D245" s="8"/>
    </row>
    <row r="246" spans="1:4" ht="24">
      <c r="A246" s="42" t="s">
        <v>12</v>
      </c>
      <c r="B246" s="6" t="s">
        <v>30</v>
      </c>
      <c r="C246" s="7">
        <v>0</v>
      </c>
      <c r="D246" s="8"/>
    </row>
    <row r="247" spans="1:4" ht="24">
      <c r="A247" s="42" t="s">
        <v>13</v>
      </c>
      <c r="B247" s="6" t="s">
        <v>31</v>
      </c>
      <c r="C247" s="7">
        <v>0</v>
      </c>
      <c r="D247" s="8"/>
    </row>
    <row r="248" spans="1:4" ht="24">
      <c r="A248" s="42" t="s">
        <v>91</v>
      </c>
      <c r="B248" s="6" t="s">
        <v>92</v>
      </c>
      <c r="C248" s="7">
        <v>0</v>
      </c>
      <c r="D248" s="8"/>
    </row>
    <row r="249" spans="1:4" ht="24">
      <c r="A249" s="42" t="s">
        <v>118</v>
      </c>
      <c r="B249" s="6" t="s">
        <v>88</v>
      </c>
      <c r="C249" s="7"/>
      <c r="D249" s="8">
        <v>48469.61</v>
      </c>
    </row>
    <row r="250" spans="1:4" ht="24">
      <c r="A250" s="42" t="s">
        <v>18</v>
      </c>
      <c r="B250" s="6" t="s">
        <v>35</v>
      </c>
      <c r="C250" s="7"/>
      <c r="D250" s="8">
        <v>7146065.35</v>
      </c>
    </row>
    <row r="251" spans="1:4" ht="24">
      <c r="A251" s="42" t="s">
        <v>19</v>
      </c>
      <c r="B251" s="6" t="s">
        <v>37</v>
      </c>
      <c r="C251" s="7"/>
      <c r="D251" s="8">
        <v>2499940.52</v>
      </c>
    </row>
    <row r="252" spans="1:4" ht="24">
      <c r="A252" s="42" t="s">
        <v>112</v>
      </c>
      <c r="B252" s="6" t="s">
        <v>113</v>
      </c>
      <c r="C252" s="7"/>
      <c r="D252" s="8">
        <v>2183055.52</v>
      </c>
    </row>
    <row r="253" spans="1:4" ht="24">
      <c r="A253" s="42" t="s">
        <v>117</v>
      </c>
      <c r="B253" s="6" t="s">
        <v>36</v>
      </c>
      <c r="C253" s="7"/>
      <c r="D253" s="8">
        <v>532935.92</v>
      </c>
    </row>
    <row r="254" spans="1:4" ht="24">
      <c r="A254" s="42" t="s">
        <v>17</v>
      </c>
      <c r="B254" s="6"/>
      <c r="C254" s="7"/>
      <c r="D254" s="8">
        <v>3534782.59</v>
      </c>
    </row>
    <row r="255" spans="1:4" ht="24">
      <c r="A255" s="43"/>
      <c r="B255" s="9"/>
      <c r="C255" s="10"/>
      <c r="D255" s="11"/>
    </row>
    <row r="256" spans="1:4" ht="24.75" thickBot="1">
      <c r="A256" s="5"/>
      <c r="B256" s="12"/>
      <c r="C256" s="13">
        <f>SUM(C231:C255)</f>
        <v>15945249.51</v>
      </c>
      <c r="D256" s="14">
        <f>SUM(D231:D255)</f>
        <v>15945249.51</v>
      </c>
    </row>
    <row r="257" spans="1:4" ht="24.75" thickTop="1">
      <c r="A257" s="5"/>
      <c r="B257" s="12"/>
      <c r="C257" s="15"/>
      <c r="D257" s="15"/>
    </row>
    <row r="258" spans="1:4" ht="24">
      <c r="A258" s="5"/>
      <c r="B258" s="12"/>
      <c r="C258" s="15"/>
      <c r="D258" s="15"/>
    </row>
    <row r="260" spans="1:5" ht="21.75">
      <c r="A260" s="225" t="s">
        <v>83</v>
      </c>
      <c r="B260" s="225"/>
      <c r="C260" s="225"/>
      <c r="D260" s="225"/>
      <c r="E260" s="225"/>
    </row>
    <row r="261" spans="1:4" ht="21.75">
      <c r="A261" s="225" t="s">
        <v>109</v>
      </c>
      <c r="B261" s="225"/>
      <c r="C261" s="225"/>
      <c r="D261" s="225"/>
    </row>
    <row r="262" spans="1:4" ht="21.75">
      <c r="A262" s="225" t="s">
        <v>114</v>
      </c>
      <c r="B262" s="225"/>
      <c r="C262" s="225"/>
      <c r="D262" s="225"/>
    </row>
    <row r="263" spans="1:5" ht="23.25">
      <c r="A263" s="227" t="s">
        <v>0</v>
      </c>
      <c r="B263" s="227"/>
      <c r="C263" s="227"/>
      <c r="D263" s="227"/>
      <c r="E263" s="227"/>
    </row>
    <row r="264" spans="1:5" ht="23.25">
      <c r="A264" s="227" t="s">
        <v>90</v>
      </c>
      <c r="B264" s="227"/>
      <c r="C264" s="227"/>
      <c r="D264" s="227"/>
      <c r="E264" s="227"/>
    </row>
    <row r="265" spans="1:5" ht="23.25">
      <c r="A265" s="227" t="s">
        <v>123</v>
      </c>
      <c r="B265" s="227"/>
      <c r="C265" s="227"/>
      <c r="D265" s="227"/>
      <c r="E265" s="227"/>
    </row>
    <row r="266" spans="1:5" ht="23.25">
      <c r="A266" s="2" t="s">
        <v>1</v>
      </c>
      <c r="B266" s="2" t="s">
        <v>2</v>
      </c>
      <c r="C266" s="3" t="s">
        <v>38</v>
      </c>
      <c r="D266" s="3" t="s">
        <v>3</v>
      </c>
      <c r="E266" s="4"/>
    </row>
    <row r="267" spans="1:4" ht="24">
      <c r="A267" s="41" t="s">
        <v>4</v>
      </c>
      <c r="B267" s="6" t="s">
        <v>20</v>
      </c>
      <c r="C267" s="7">
        <v>2060</v>
      </c>
      <c r="D267" s="8"/>
    </row>
    <row r="268" spans="1:4" ht="24">
      <c r="A268" s="42" t="s">
        <v>70</v>
      </c>
      <c r="B268" s="6" t="s">
        <v>21</v>
      </c>
      <c r="C268" s="7">
        <f>8104709.58+310203.58+10484.93</f>
        <v>8425398.09</v>
      </c>
      <c r="D268" s="8"/>
    </row>
    <row r="269" spans="1:4" ht="24">
      <c r="A269" s="42" t="s">
        <v>71</v>
      </c>
      <c r="B269" s="6" t="s">
        <v>22</v>
      </c>
      <c r="C269" s="7">
        <v>2639868.79</v>
      </c>
      <c r="D269" s="8"/>
    </row>
    <row r="270" spans="1:4" ht="24">
      <c r="A270" s="42" t="s">
        <v>87</v>
      </c>
      <c r="B270" s="6" t="s">
        <v>89</v>
      </c>
      <c r="C270" s="7">
        <v>1158112.53</v>
      </c>
      <c r="D270" s="8"/>
    </row>
    <row r="271" spans="1:4" ht="24">
      <c r="A271" s="42" t="s">
        <v>110</v>
      </c>
      <c r="B271" s="6" t="s">
        <v>111</v>
      </c>
      <c r="C271" s="7">
        <v>18102</v>
      </c>
      <c r="D271" s="8"/>
    </row>
    <row r="272" spans="1:4" ht="24">
      <c r="A272" s="42" t="s">
        <v>68</v>
      </c>
      <c r="B272" s="6" t="s">
        <v>69</v>
      </c>
      <c r="C272" s="7">
        <v>0</v>
      </c>
      <c r="D272" s="8"/>
    </row>
    <row r="273" spans="1:4" ht="24">
      <c r="A273" s="42" t="s">
        <v>5</v>
      </c>
      <c r="B273" s="6" t="s">
        <v>23</v>
      </c>
      <c r="C273" s="7">
        <v>0</v>
      </c>
      <c r="D273" s="8"/>
    </row>
    <row r="274" spans="1:4" ht="24">
      <c r="A274" s="42" t="s">
        <v>14</v>
      </c>
      <c r="B274" s="6" t="s">
        <v>32</v>
      </c>
      <c r="C274" s="7">
        <v>439736</v>
      </c>
      <c r="D274" s="8"/>
    </row>
    <row r="275" spans="1:4" ht="24">
      <c r="A275" s="42" t="s">
        <v>6</v>
      </c>
      <c r="B275" s="6" t="s">
        <v>24</v>
      </c>
      <c r="C275" s="7">
        <v>679075</v>
      </c>
      <c r="D275" s="8"/>
    </row>
    <row r="276" spans="1:4" ht="24">
      <c r="A276" s="42" t="s">
        <v>7</v>
      </c>
      <c r="B276" s="6" t="s">
        <v>25</v>
      </c>
      <c r="C276" s="7">
        <v>282240</v>
      </c>
      <c r="D276" s="8"/>
    </row>
    <row r="277" spans="1:4" ht="24">
      <c r="A277" s="42" t="s">
        <v>8</v>
      </c>
      <c r="B277" s="6" t="s">
        <v>26</v>
      </c>
      <c r="C277" s="7">
        <v>1069244.55</v>
      </c>
      <c r="D277" s="8"/>
    </row>
    <row r="278" spans="1:4" ht="24">
      <c r="A278" s="42" t="s">
        <v>9</v>
      </c>
      <c r="B278" s="6" t="s">
        <v>27</v>
      </c>
      <c r="C278" s="7">
        <v>508121.92</v>
      </c>
      <c r="D278" s="8"/>
    </row>
    <row r="279" spans="1:4" ht="24">
      <c r="A279" s="42" t="s">
        <v>10</v>
      </c>
      <c r="B279" s="6" t="s">
        <v>28</v>
      </c>
      <c r="C279" s="7">
        <v>880694.22</v>
      </c>
      <c r="D279" s="8"/>
    </row>
    <row r="280" spans="1:4" ht="24">
      <c r="A280" s="42" t="s">
        <v>11</v>
      </c>
      <c r="B280" s="6" t="s">
        <v>29</v>
      </c>
      <c r="C280" s="7">
        <v>82496.01</v>
      </c>
      <c r="D280" s="8"/>
    </row>
    <row r="281" spans="1:4" ht="24">
      <c r="A281" s="42" t="s">
        <v>16</v>
      </c>
      <c r="B281" s="6" t="s">
        <v>34</v>
      </c>
      <c r="C281" s="7">
        <v>549700</v>
      </c>
      <c r="D281" s="8"/>
    </row>
    <row r="282" spans="1:4" ht="24">
      <c r="A282" s="42" t="s">
        <v>12</v>
      </c>
      <c r="B282" s="6" t="s">
        <v>30</v>
      </c>
      <c r="C282" s="7">
        <v>0</v>
      </c>
      <c r="D282" s="8"/>
    </row>
    <row r="283" spans="1:4" ht="24">
      <c r="A283" s="42" t="s">
        <v>13</v>
      </c>
      <c r="B283" s="6" t="s">
        <v>31</v>
      </c>
      <c r="C283" s="7">
        <v>0</v>
      </c>
      <c r="D283" s="8"/>
    </row>
    <row r="284" spans="1:4" ht="24">
      <c r="A284" s="42" t="s">
        <v>91</v>
      </c>
      <c r="B284" s="6" t="s">
        <v>92</v>
      </c>
      <c r="C284" s="7">
        <v>0</v>
      </c>
      <c r="D284" s="8"/>
    </row>
    <row r="285" spans="1:4" ht="24">
      <c r="A285" s="42" t="s">
        <v>118</v>
      </c>
      <c r="B285" s="6" t="s">
        <v>88</v>
      </c>
      <c r="C285" s="7"/>
      <c r="D285" s="8">
        <v>13469.61</v>
      </c>
    </row>
    <row r="286" spans="1:4" ht="24">
      <c r="A286" s="42" t="s">
        <v>18</v>
      </c>
      <c r="B286" s="6" t="s">
        <v>35</v>
      </c>
      <c r="C286" s="7"/>
      <c r="D286" s="8">
        <v>8339145.67</v>
      </c>
    </row>
    <row r="287" spans="1:4" ht="24">
      <c r="A287" s="42" t="s">
        <v>19</v>
      </c>
      <c r="B287" s="6" t="s">
        <v>37</v>
      </c>
      <c r="C287" s="7"/>
      <c r="D287" s="8">
        <v>2499940.52</v>
      </c>
    </row>
    <row r="288" spans="1:4" ht="24">
      <c r="A288" s="42" t="s">
        <v>112</v>
      </c>
      <c r="B288" s="6" t="s">
        <v>113</v>
      </c>
      <c r="C288" s="7"/>
      <c r="D288" s="8">
        <v>2183055.52</v>
      </c>
    </row>
    <row r="289" spans="1:4" ht="24">
      <c r="A289" s="42" t="s">
        <v>117</v>
      </c>
      <c r="B289" s="6" t="s">
        <v>36</v>
      </c>
      <c r="C289" s="7"/>
      <c r="D289" s="8">
        <v>564170.2</v>
      </c>
    </row>
    <row r="290" spans="1:4" ht="24">
      <c r="A290" s="42" t="s">
        <v>17</v>
      </c>
      <c r="B290" s="6"/>
      <c r="C290" s="7"/>
      <c r="D290" s="8">
        <v>3135067.59</v>
      </c>
    </row>
    <row r="291" spans="1:4" ht="24">
      <c r="A291" s="43"/>
      <c r="B291" s="9"/>
      <c r="C291" s="10"/>
      <c r="D291" s="11"/>
    </row>
    <row r="292" spans="1:4" ht="24.75" thickBot="1">
      <c r="A292" s="5"/>
      <c r="B292" s="12"/>
      <c r="C292" s="13">
        <f>SUM(C267:C291)</f>
        <v>16734849.11</v>
      </c>
      <c r="D292" s="14">
        <f>SUM(D267:D291)</f>
        <v>16734849.11</v>
      </c>
    </row>
    <row r="293" spans="1:4" ht="24.75" thickTop="1">
      <c r="A293" s="5"/>
      <c r="B293" s="12"/>
      <c r="C293" s="15"/>
      <c r="D293" s="15"/>
    </row>
    <row r="295" spans="1:5" ht="21.75">
      <c r="A295" s="225" t="s">
        <v>83</v>
      </c>
      <c r="B295" s="225"/>
      <c r="C295" s="225"/>
      <c r="D295" s="225"/>
      <c r="E295" s="225"/>
    </row>
    <row r="296" spans="1:4" ht="21.75">
      <c r="A296" s="225" t="s">
        <v>109</v>
      </c>
      <c r="B296" s="225"/>
      <c r="C296" s="225"/>
      <c r="D296" s="225"/>
    </row>
    <row r="297" spans="1:4" ht="21.75">
      <c r="A297" s="225" t="s">
        <v>114</v>
      </c>
      <c r="B297" s="225"/>
      <c r="C297" s="225"/>
      <c r="D297" s="225"/>
    </row>
    <row r="299" spans="1:5" ht="23.25">
      <c r="A299" s="227" t="s">
        <v>0</v>
      </c>
      <c r="B299" s="227"/>
      <c r="C299" s="227"/>
      <c r="D299" s="227"/>
      <c r="E299" s="227"/>
    </row>
    <row r="300" spans="1:5" ht="23.25">
      <c r="A300" s="227" t="s">
        <v>90</v>
      </c>
      <c r="B300" s="227"/>
      <c r="C300" s="227"/>
      <c r="D300" s="227"/>
      <c r="E300" s="227"/>
    </row>
    <row r="301" spans="1:5" ht="23.25">
      <c r="A301" s="227" t="s">
        <v>124</v>
      </c>
      <c r="B301" s="227"/>
      <c r="C301" s="227"/>
      <c r="D301" s="227"/>
      <c r="E301" s="227"/>
    </row>
    <row r="302" spans="1:5" ht="23.25">
      <c r="A302" s="2" t="s">
        <v>1</v>
      </c>
      <c r="B302" s="2" t="s">
        <v>2</v>
      </c>
      <c r="C302" s="3" t="s">
        <v>38</v>
      </c>
      <c r="D302" s="3" t="s">
        <v>3</v>
      </c>
      <c r="E302" s="4"/>
    </row>
    <row r="303" spans="1:4" ht="24">
      <c r="A303" s="41" t="s">
        <v>4</v>
      </c>
      <c r="B303" s="6" t="s">
        <v>20</v>
      </c>
      <c r="C303" s="7">
        <v>1258</v>
      </c>
      <c r="D303" s="8"/>
    </row>
    <row r="304" spans="1:4" ht="24">
      <c r="A304" s="42" t="s">
        <v>70</v>
      </c>
      <c r="B304" s="6" t="s">
        <v>21</v>
      </c>
      <c r="C304" s="7">
        <f>9437596.5+320203.58+10484.93+2</f>
        <v>9768287.01</v>
      </c>
      <c r="D304" s="8"/>
    </row>
    <row r="305" spans="1:4" ht="24">
      <c r="A305" s="42" t="s">
        <v>71</v>
      </c>
      <c r="B305" s="6" t="s">
        <v>22</v>
      </c>
      <c r="C305" s="7">
        <v>2639868.79</v>
      </c>
      <c r="D305" s="8"/>
    </row>
    <row r="306" spans="1:4" ht="24">
      <c r="A306" s="42" t="s">
        <v>87</v>
      </c>
      <c r="B306" s="6" t="s">
        <v>89</v>
      </c>
      <c r="C306" s="7">
        <v>0</v>
      </c>
      <c r="D306" s="8"/>
    </row>
    <row r="307" spans="1:4" ht="24">
      <c r="A307" s="42" t="s">
        <v>110</v>
      </c>
      <c r="B307" s="6" t="s">
        <v>111</v>
      </c>
      <c r="C307" s="7">
        <v>18102</v>
      </c>
      <c r="D307" s="8"/>
    </row>
    <row r="308" spans="1:4" ht="24">
      <c r="A308" s="42" t="s">
        <v>68</v>
      </c>
      <c r="B308" s="6" t="s">
        <v>69</v>
      </c>
      <c r="C308" s="7">
        <v>0</v>
      </c>
      <c r="D308" s="8"/>
    </row>
    <row r="309" spans="1:4" ht="24">
      <c r="A309" s="42" t="s">
        <v>5</v>
      </c>
      <c r="B309" s="6" t="s">
        <v>23</v>
      </c>
      <c r="C309" s="7">
        <v>0</v>
      </c>
      <c r="D309" s="8"/>
    </row>
    <row r="310" spans="1:4" ht="24">
      <c r="A310" s="42" t="s">
        <v>14</v>
      </c>
      <c r="B310" s="6" t="s">
        <v>32</v>
      </c>
      <c r="C310" s="7">
        <f>439736+4118+882</f>
        <v>444736</v>
      </c>
      <c r="D310" s="8"/>
    </row>
    <row r="311" spans="1:4" ht="24">
      <c r="A311" s="42" t="s">
        <v>6</v>
      </c>
      <c r="B311" s="6" t="s">
        <v>24</v>
      </c>
      <c r="C311" s="7">
        <f>679075+121450</f>
        <v>800525</v>
      </c>
      <c r="D311" s="8"/>
    </row>
    <row r="312" spans="1:4" ht="24">
      <c r="A312" s="42" t="s">
        <v>7</v>
      </c>
      <c r="B312" s="6" t="s">
        <v>25</v>
      </c>
      <c r="C312" s="7">
        <f>282240+34692</f>
        <v>316932</v>
      </c>
      <c r="D312" s="8"/>
    </row>
    <row r="313" spans="1:4" ht="24">
      <c r="A313" s="42" t="s">
        <v>8</v>
      </c>
      <c r="B313" s="6" t="s">
        <v>26</v>
      </c>
      <c r="C313" s="7">
        <f>1069244.55+190582</f>
        <v>1259826.55</v>
      </c>
      <c r="D313" s="8"/>
    </row>
    <row r="314" spans="1:4" ht="24">
      <c r="A314" s="42" t="s">
        <v>9</v>
      </c>
      <c r="B314" s="6" t="s">
        <v>27</v>
      </c>
      <c r="C314" s="7">
        <f>508121.92+121620.3</f>
        <v>629742.22</v>
      </c>
      <c r="D314" s="8"/>
    </row>
    <row r="315" spans="1:4" ht="24">
      <c r="A315" s="42" t="s">
        <v>10</v>
      </c>
      <c r="B315" s="6" t="s">
        <v>28</v>
      </c>
      <c r="C315" s="7">
        <f>880694.22+28000+13650</f>
        <v>922344.22</v>
      </c>
      <c r="D315" s="8"/>
    </row>
    <row r="316" spans="1:4" ht="24">
      <c r="A316" s="42" t="s">
        <v>11</v>
      </c>
      <c r="B316" s="6" t="s">
        <v>29</v>
      </c>
      <c r="C316" s="7">
        <f>82496.01+20289.33</f>
        <v>102785.34</v>
      </c>
      <c r="D316" s="8"/>
    </row>
    <row r="317" spans="1:4" ht="24">
      <c r="A317" s="42" t="s">
        <v>16</v>
      </c>
      <c r="B317" s="6" t="s">
        <v>34</v>
      </c>
      <c r="C317" s="7">
        <f>549700</f>
        <v>549700</v>
      </c>
      <c r="D317" s="8"/>
    </row>
    <row r="318" spans="1:4" ht="24">
      <c r="A318" s="42" t="s">
        <v>12</v>
      </c>
      <c r="B318" s="6" t="s">
        <v>30</v>
      </c>
      <c r="C318" s="7">
        <v>50000</v>
      </c>
      <c r="D318" s="8"/>
    </row>
    <row r="319" spans="1:4" ht="24">
      <c r="A319" s="42" t="s">
        <v>13</v>
      </c>
      <c r="B319" s="6" t="s">
        <v>31</v>
      </c>
      <c r="C319" s="7">
        <v>0</v>
      </c>
      <c r="D319" s="8"/>
    </row>
    <row r="320" spans="1:4" ht="24">
      <c r="A320" s="42" t="s">
        <v>91</v>
      </c>
      <c r="B320" s="6" t="s">
        <v>92</v>
      </c>
      <c r="C320" s="7">
        <v>0</v>
      </c>
      <c r="D320" s="8"/>
    </row>
    <row r="321" spans="1:4" ht="24">
      <c r="A321" s="42" t="s">
        <v>118</v>
      </c>
      <c r="B321" s="6" t="s">
        <v>88</v>
      </c>
      <c r="C321" s="7"/>
      <c r="D321" s="8">
        <v>13469.61</v>
      </c>
    </row>
    <row r="322" spans="1:4" ht="24">
      <c r="A322" s="42" t="s">
        <v>18</v>
      </c>
      <c r="B322" s="6" t="s">
        <v>35</v>
      </c>
      <c r="C322" s="7"/>
      <c r="D322" s="8">
        <f>8339145.67+1495015.72</f>
        <v>9834161.39</v>
      </c>
    </row>
    <row r="323" spans="1:4" ht="24">
      <c r="A323" s="42" t="s">
        <v>19</v>
      </c>
      <c r="B323" s="6" t="s">
        <v>37</v>
      </c>
      <c r="C323" s="7"/>
      <c r="D323" s="8">
        <v>2499940.52</v>
      </c>
    </row>
    <row r="324" spans="1:4" ht="24">
      <c r="A324" s="42" t="s">
        <v>112</v>
      </c>
      <c r="B324" s="6" t="s">
        <v>113</v>
      </c>
      <c r="C324" s="7"/>
      <c r="D324" s="8">
        <v>2183055.52</v>
      </c>
    </row>
    <row r="325" spans="1:4" ht="24">
      <c r="A325" s="42" t="s">
        <v>117</v>
      </c>
      <c r="B325" s="6" t="s">
        <v>36</v>
      </c>
      <c r="C325" s="7"/>
      <c r="D325" s="8">
        <f>564170.2+112338.41-31096.11</f>
        <v>645412.5</v>
      </c>
    </row>
    <row r="326" spans="1:4" ht="24">
      <c r="A326" s="42" t="s">
        <v>17</v>
      </c>
      <c r="B326" s="6"/>
      <c r="C326" s="7"/>
      <c r="D326" s="8">
        <f>3135067.59-807000</f>
        <v>2328067.59</v>
      </c>
    </row>
    <row r="327" spans="1:4" ht="24">
      <c r="A327" s="43"/>
      <c r="B327" s="9"/>
      <c r="C327" s="10"/>
      <c r="D327" s="11"/>
    </row>
    <row r="328" spans="1:6" ht="24.75" thickBot="1">
      <c r="A328" s="5"/>
      <c r="B328" s="12"/>
      <c r="C328" s="13">
        <f>SUM(C303:C327)</f>
        <v>17504107.130000003</v>
      </c>
      <c r="D328" s="14">
        <f>SUM(D303:D327)</f>
        <v>17504107.13</v>
      </c>
      <c r="F328" s="85">
        <f>C328-D328</f>
        <v>0</v>
      </c>
    </row>
    <row r="329" spans="1:4" ht="24.75" thickTop="1">
      <c r="A329" s="5"/>
      <c r="B329" s="12"/>
      <c r="C329" s="15"/>
      <c r="D329" s="15"/>
    </row>
    <row r="331" spans="1:5" ht="21.75">
      <c r="A331" s="225" t="s">
        <v>83</v>
      </c>
      <c r="B331" s="225"/>
      <c r="C331" s="225"/>
      <c r="D331" s="225"/>
      <c r="E331" s="225"/>
    </row>
    <row r="332" spans="1:4" ht="21.75">
      <c r="A332" s="225" t="s">
        <v>109</v>
      </c>
      <c r="B332" s="225"/>
      <c r="C332" s="225"/>
      <c r="D332" s="225"/>
    </row>
    <row r="333" spans="1:4" ht="21.75">
      <c r="A333" s="225" t="s">
        <v>114</v>
      </c>
      <c r="B333" s="225"/>
      <c r="C333" s="225"/>
      <c r="D333" s="225"/>
    </row>
    <row r="335" spans="1:5" ht="23.25">
      <c r="A335" s="227" t="s">
        <v>0</v>
      </c>
      <c r="B335" s="227"/>
      <c r="C335" s="227"/>
      <c r="D335" s="227"/>
      <c r="E335" s="227"/>
    </row>
    <row r="336" spans="1:5" ht="23.25">
      <c r="A336" s="227" t="s">
        <v>90</v>
      </c>
      <c r="B336" s="227"/>
      <c r="C336" s="227"/>
      <c r="D336" s="227"/>
      <c r="E336" s="227"/>
    </row>
    <row r="337" spans="1:5" ht="23.25">
      <c r="A337" s="227" t="s">
        <v>125</v>
      </c>
      <c r="B337" s="227"/>
      <c r="C337" s="227"/>
      <c r="D337" s="227"/>
      <c r="E337" s="227"/>
    </row>
    <row r="338" spans="1:5" ht="23.25">
      <c r="A338" s="2" t="s">
        <v>1</v>
      </c>
      <c r="B338" s="2" t="s">
        <v>2</v>
      </c>
      <c r="C338" s="3" t="s">
        <v>38</v>
      </c>
      <c r="D338" s="3" t="s">
        <v>3</v>
      </c>
      <c r="E338" s="4"/>
    </row>
    <row r="339" spans="1:4" ht="24">
      <c r="A339" s="41" t="s">
        <v>4</v>
      </c>
      <c r="B339" s="6" t="s">
        <v>20</v>
      </c>
      <c r="C339" s="7">
        <v>0</v>
      </c>
      <c r="D339" s="8"/>
    </row>
    <row r="340" spans="1:4" ht="24">
      <c r="A340" s="42" t="s">
        <v>70</v>
      </c>
      <c r="B340" s="6" t="s">
        <v>21</v>
      </c>
      <c r="C340" s="7">
        <f>9905359.16+390203.58+10484.93</f>
        <v>10306047.67</v>
      </c>
      <c r="D340" s="8"/>
    </row>
    <row r="341" spans="1:4" ht="24">
      <c r="A341" s="42" t="s">
        <v>71</v>
      </c>
      <c r="B341" s="6" t="s">
        <v>22</v>
      </c>
      <c r="C341" s="7">
        <v>2639868.79</v>
      </c>
      <c r="D341" s="8"/>
    </row>
    <row r="342" spans="1:4" ht="24">
      <c r="A342" s="42" t="s">
        <v>87</v>
      </c>
      <c r="B342" s="6" t="s">
        <v>89</v>
      </c>
      <c r="C342" s="7">
        <v>10345.58</v>
      </c>
      <c r="D342" s="8"/>
    </row>
    <row r="343" spans="1:4" ht="24">
      <c r="A343" s="42" t="s">
        <v>110</v>
      </c>
      <c r="B343" s="6" t="s">
        <v>111</v>
      </c>
      <c r="C343" s="7">
        <v>18102</v>
      </c>
      <c r="D343" s="8"/>
    </row>
    <row r="344" spans="1:4" ht="24">
      <c r="A344" s="42" t="s">
        <v>68</v>
      </c>
      <c r="B344" s="6" t="s">
        <v>69</v>
      </c>
      <c r="C344" s="7">
        <v>0</v>
      </c>
      <c r="D344" s="8"/>
    </row>
    <row r="345" spans="1:4" ht="24">
      <c r="A345" s="42" t="s">
        <v>5</v>
      </c>
      <c r="B345" s="6" t="s">
        <v>23</v>
      </c>
      <c r="C345" s="7">
        <v>0</v>
      </c>
      <c r="D345" s="8"/>
    </row>
    <row r="346" spans="1:4" ht="24">
      <c r="A346" s="42" t="s">
        <v>14</v>
      </c>
      <c r="B346" s="6" t="s">
        <v>32</v>
      </c>
      <c r="C346" s="7">
        <f>439736+4118+882+5404+882</f>
        <v>451022</v>
      </c>
      <c r="D346" s="8"/>
    </row>
    <row r="347" spans="1:4" ht="24">
      <c r="A347" s="42" t="s">
        <v>6</v>
      </c>
      <c r="B347" s="6" t="s">
        <v>24</v>
      </c>
      <c r="C347" s="7">
        <f>679075+121450+125610</f>
        <v>926135</v>
      </c>
      <c r="D347" s="8"/>
    </row>
    <row r="348" spans="1:4" ht="24">
      <c r="A348" s="42" t="s">
        <v>7</v>
      </c>
      <c r="B348" s="6" t="s">
        <v>25</v>
      </c>
      <c r="C348" s="7">
        <f>282240+34692+38220+35280</f>
        <v>390432</v>
      </c>
      <c r="D348" s="8"/>
    </row>
    <row r="349" spans="1:4" ht="24">
      <c r="A349" s="42" t="s">
        <v>8</v>
      </c>
      <c r="B349" s="6" t="s">
        <v>26</v>
      </c>
      <c r="C349" s="7">
        <f>1069244.55+190582+202841</f>
        <v>1462667.55</v>
      </c>
      <c r="D349" s="8"/>
    </row>
    <row r="350" spans="1:4" ht="24">
      <c r="A350" s="42" t="s">
        <v>9</v>
      </c>
      <c r="B350" s="6" t="s">
        <v>27</v>
      </c>
      <c r="C350" s="7">
        <f>508121.92+121620.3+178761.6</f>
        <v>808503.82</v>
      </c>
      <c r="D350" s="8"/>
    </row>
    <row r="351" spans="1:4" ht="24">
      <c r="A351" s="42" t="s">
        <v>10</v>
      </c>
      <c r="B351" s="6" t="s">
        <v>28</v>
      </c>
      <c r="C351" s="7">
        <f>880694.22+28000+13650+140497+649000.1</f>
        <v>1711841.3199999998</v>
      </c>
      <c r="D351" s="8"/>
    </row>
    <row r="352" spans="1:4" ht="24">
      <c r="A352" s="42" t="s">
        <v>11</v>
      </c>
      <c r="B352" s="6" t="s">
        <v>29</v>
      </c>
      <c r="C352" s="7">
        <f>82496.01+20289.33+20414.26</f>
        <v>123199.59999999999</v>
      </c>
      <c r="D352" s="8"/>
    </row>
    <row r="353" spans="1:4" ht="24">
      <c r="A353" s="42" t="s">
        <v>16</v>
      </c>
      <c r="B353" s="6" t="s">
        <v>34</v>
      </c>
      <c r="C353" s="7">
        <f>549700+1500</f>
        <v>551200</v>
      </c>
      <c r="D353" s="8"/>
    </row>
    <row r="354" spans="1:4" ht="24">
      <c r="A354" s="42" t="s">
        <v>12</v>
      </c>
      <c r="B354" s="6" t="s">
        <v>30</v>
      </c>
      <c r="C354" s="7">
        <f>50000+31800</f>
        <v>81800</v>
      </c>
      <c r="D354" s="8"/>
    </row>
    <row r="355" spans="1:4" ht="24">
      <c r="A355" s="42" t="s">
        <v>13</v>
      </c>
      <c r="B355" s="6" t="s">
        <v>31</v>
      </c>
      <c r="C355" s="7">
        <v>0</v>
      </c>
      <c r="D355" s="8"/>
    </row>
    <row r="356" spans="1:4" ht="24">
      <c r="A356" s="42" t="s">
        <v>91</v>
      </c>
      <c r="B356" s="6" t="s">
        <v>92</v>
      </c>
      <c r="C356" s="7">
        <v>0</v>
      </c>
      <c r="D356" s="8"/>
    </row>
    <row r="357" spans="1:4" ht="24">
      <c r="A357" s="42" t="s">
        <v>118</v>
      </c>
      <c r="B357" s="6" t="s">
        <v>88</v>
      </c>
      <c r="C357" s="7"/>
      <c r="D357" s="8">
        <v>13469.61</v>
      </c>
    </row>
    <row r="358" spans="1:4" ht="24">
      <c r="A358" s="42" t="s">
        <v>18</v>
      </c>
      <c r="B358" s="6" t="s">
        <v>35</v>
      </c>
      <c r="C358" s="7"/>
      <c r="D358" s="8">
        <f>8339145.67+1495015.72+1550971.47+915682</f>
        <v>12300814.860000001</v>
      </c>
    </row>
    <row r="359" spans="1:4" ht="24">
      <c r="A359" s="42" t="s">
        <v>19</v>
      </c>
      <c r="B359" s="6" t="s">
        <v>37</v>
      </c>
      <c r="C359" s="7"/>
      <c r="D359" s="8">
        <v>2499940.52</v>
      </c>
    </row>
    <row r="360" spans="1:4" ht="24">
      <c r="A360" s="42" t="s">
        <v>112</v>
      </c>
      <c r="B360" s="6" t="s">
        <v>113</v>
      </c>
      <c r="C360" s="7"/>
      <c r="D360" s="8">
        <v>2183055.52</v>
      </c>
    </row>
    <row r="361" spans="1:4" ht="24">
      <c r="A361" s="42" t="s">
        <v>117</v>
      </c>
      <c r="B361" s="6" t="s">
        <v>36</v>
      </c>
      <c r="C361" s="7"/>
      <c r="D361" s="8">
        <f>564170.2+112338.41-31096.11+87137.11-48625.13</f>
        <v>683924.48</v>
      </c>
    </row>
    <row r="362" spans="1:4" ht="24">
      <c r="A362" s="42" t="s">
        <v>17</v>
      </c>
      <c r="B362" s="6"/>
      <c r="C362" s="7"/>
      <c r="D362" s="8">
        <f>3135067.59-807000-528107.25</f>
        <v>1799960.3399999999</v>
      </c>
    </row>
    <row r="363" spans="1:4" ht="24">
      <c r="A363" s="43"/>
      <c r="B363" s="9"/>
      <c r="C363" s="10"/>
      <c r="D363" s="11"/>
    </row>
    <row r="364" spans="1:4" ht="24.75" thickBot="1">
      <c r="A364" s="5"/>
      <c r="B364" s="12"/>
      <c r="C364" s="13">
        <f>SUM(C339:C363)</f>
        <v>19481165.330000002</v>
      </c>
      <c r="D364" s="14">
        <f>SUM(D339:D363)</f>
        <v>19481165.330000002</v>
      </c>
    </row>
    <row r="365" spans="1:4" ht="24.75" thickTop="1">
      <c r="A365" s="5"/>
      <c r="B365" s="12"/>
      <c r="C365" s="15"/>
      <c r="D365" s="15"/>
    </row>
    <row r="367" spans="1:5" ht="21.75">
      <c r="A367" s="225" t="s">
        <v>83</v>
      </c>
      <c r="B367" s="225"/>
      <c r="C367" s="225"/>
      <c r="D367" s="225"/>
      <c r="E367" s="225"/>
    </row>
    <row r="368" spans="1:4" ht="21.75">
      <c r="A368" s="225" t="s">
        <v>109</v>
      </c>
      <c r="B368" s="225"/>
      <c r="C368" s="225"/>
      <c r="D368" s="225"/>
    </row>
    <row r="369" spans="1:4" ht="21.75">
      <c r="A369" s="225" t="s">
        <v>114</v>
      </c>
      <c r="B369" s="225"/>
      <c r="C369" s="225"/>
      <c r="D369" s="225"/>
    </row>
    <row r="371" spans="1:5" ht="23.25">
      <c r="A371" s="227" t="s">
        <v>0</v>
      </c>
      <c r="B371" s="227"/>
      <c r="C371" s="227"/>
      <c r="D371" s="227"/>
      <c r="E371" s="227"/>
    </row>
    <row r="372" spans="1:5" ht="23.25">
      <c r="A372" s="227" t="s">
        <v>90</v>
      </c>
      <c r="B372" s="227"/>
      <c r="C372" s="227"/>
      <c r="D372" s="227"/>
      <c r="E372" s="227"/>
    </row>
    <row r="373" spans="1:5" ht="23.25">
      <c r="A373" s="227" t="s">
        <v>126</v>
      </c>
      <c r="B373" s="227"/>
      <c r="C373" s="227"/>
      <c r="D373" s="227"/>
      <c r="E373" s="227"/>
    </row>
    <row r="374" spans="1:5" ht="23.25">
      <c r="A374" s="2" t="s">
        <v>1</v>
      </c>
      <c r="B374" s="2" t="s">
        <v>2</v>
      </c>
      <c r="C374" s="3" t="s">
        <v>38</v>
      </c>
      <c r="D374" s="3" t="s">
        <v>3</v>
      </c>
      <c r="E374" s="4"/>
    </row>
    <row r="375" spans="1:4" ht="24">
      <c r="A375" s="41" t="s">
        <v>4</v>
      </c>
      <c r="B375" s="6" t="s">
        <v>20</v>
      </c>
      <c r="C375" s="7">
        <v>0</v>
      </c>
      <c r="D375" s="8"/>
    </row>
    <row r="376" spans="1:4" ht="24">
      <c r="A376" s="42" t="s">
        <v>70</v>
      </c>
      <c r="B376" s="6" t="s">
        <v>21</v>
      </c>
      <c r="C376" s="7">
        <f>9878253.68+402203.58+10484.93</f>
        <v>10290942.19</v>
      </c>
      <c r="D376" s="8"/>
    </row>
    <row r="377" spans="1:4" ht="24">
      <c r="A377" s="42" t="s">
        <v>71</v>
      </c>
      <c r="B377" s="6" t="s">
        <v>22</v>
      </c>
      <c r="C377" s="7">
        <v>2639868.79</v>
      </c>
      <c r="D377" s="8"/>
    </row>
    <row r="378" spans="1:4" ht="24">
      <c r="A378" s="42" t="s">
        <v>87</v>
      </c>
      <c r="B378" s="6" t="s">
        <v>89</v>
      </c>
      <c r="C378" s="7">
        <v>243700</v>
      </c>
      <c r="D378" s="8"/>
    </row>
    <row r="379" spans="1:4" ht="24">
      <c r="A379" s="42" t="s">
        <v>110</v>
      </c>
      <c r="B379" s="6" t="s">
        <v>111</v>
      </c>
      <c r="C379" s="7">
        <v>18102</v>
      </c>
      <c r="D379" s="8"/>
    </row>
    <row r="380" spans="1:4" ht="24">
      <c r="A380" s="42" t="s">
        <v>68</v>
      </c>
      <c r="B380" s="6" t="s">
        <v>69</v>
      </c>
      <c r="C380" s="7">
        <v>0</v>
      </c>
      <c r="D380" s="8"/>
    </row>
    <row r="381" spans="1:4" ht="24">
      <c r="A381" s="42" t="s">
        <v>5</v>
      </c>
      <c r="B381" s="6" t="s">
        <v>23</v>
      </c>
      <c r="C381" s="7">
        <v>0</v>
      </c>
      <c r="D381" s="8"/>
    </row>
    <row r="382" spans="1:4" ht="24">
      <c r="A382" s="42" t="s">
        <v>14</v>
      </c>
      <c r="B382" s="6" t="s">
        <v>32</v>
      </c>
      <c r="C382" s="7">
        <f>439736+4118+882+5404+882+47156+882</f>
        <v>499060</v>
      </c>
      <c r="D382" s="8"/>
    </row>
    <row r="383" spans="1:4" ht="24">
      <c r="A383" s="42" t="s">
        <v>6</v>
      </c>
      <c r="B383" s="6" t="s">
        <v>24</v>
      </c>
      <c r="C383" s="7">
        <f>679075+121450+125610+123530</f>
        <v>1049665</v>
      </c>
      <c r="D383" s="8"/>
    </row>
    <row r="384" spans="1:4" ht="24">
      <c r="A384" s="42" t="s">
        <v>7</v>
      </c>
      <c r="B384" s="6" t="s">
        <v>25</v>
      </c>
      <c r="C384" s="7">
        <f>282240+34692+38220+35280+45570+17640</f>
        <v>453642</v>
      </c>
      <c r="D384" s="8"/>
    </row>
    <row r="385" spans="1:4" ht="24">
      <c r="A385" s="42" t="s">
        <v>8</v>
      </c>
      <c r="B385" s="6" t="s">
        <v>26</v>
      </c>
      <c r="C385" s="7">
        <f>1069244.55+190582+202841+199718.5</f>
        <v>1662386.05</v>
      </c>
      <c r="D385" s="8"/>
    </row>
    <row r="386" spans="1:4" ht="24">
      <c r="A386" s="42" t="s">
        <v>9</v>
      </c>
      <c r="B386" s="6" t="s">
        <v>27</v>
      </c>
      <c r="C386" s="7">
        <f>508121.92+121620.3+178761.6+404237.3</f>
        <v>1212741.1199999999</v>
      </c>
      <c r="D386" s="8"/>
    </row>
    <row r="387" spans="1:4" ht="24">
      <c r="A387" s="42" t="s">
        <v>10</v>
      </c>
      <c r="B387" s="6" t="s">
        <v>28</v>
      </c>
      <c r="C387" s="7">
        <f>880694.22+28000+13650+140497+649000.1+141301.5+13000</f>
        <v>1866142.8199999998</v>
      </c>
      <c r="D387" s="8"/>
    </row>
    <row r="388" spans="1:4" ht="24">
      <c r="A388" s="42" t="s">
        <v>11</v>
      </c>
      <c r="B388" s="6" t="s">
        <v>29</v>
      </c>
      <c r="C388" s="7">
        <f>82496.01+20289.33+20414.26+17331.19</f>
        <v>140530.78999999998</v>
      </c>
      <c r="D388" s="8"/>
    </row>
    <row r="389" spans="1:4" ht="24">
      <c r="A389" s="42" t="s">
        <v>16</v>
      </c>
      <c r="B389" s="6" t="s">
        <v>34</v>
      </c>
      <c r="C389" s="7">
        <f>549700+1500+15000</f>
        <v>566200</v>
      </c>
      <c r="D389" s="8"/>
    </row>
    <row r="390" spans="1:4" ht="24">
      <c r="A390" s="42" t="s">
        <v>12</v>
      </c>
      <c r="B390" s="6" t="s">
        <v>30</v>
      </c>
      <c r="C390" s="7">
        <f>50000+31800</f>
        <v>81800</v>
      </c>
      <c r="D390" s="8"/>
    </row>
    <row r="391" spans="1:4" ht="24">
      <c r="A391" s="42" t="s">
        <v>13</v>
      </c>
      <c r="B391" s="6" t="s">
        <v>31</v>
      </c>
      <c r="C391" s="7">
        <v>524440</v>
      </c>
      <c r="D391" s="8"/>
    </row>
    <row r="392" spans="1:4" ht="24">
      <c r="A392" s="42" t="s">
        <v>91</v>
      </c>
      <c r="B392" s="6" t="s">
        <v>92</v>
      </c>
      <c r="C392" s="7">
        <v>0</v>
      </c>
      <c r="D392" s="8"/>
    </row>
    <row r="393" spans="1:4" ht="24">
      <c r="A393" s="42" t="s">
        <v>118</v>
      </c>
      <c r="B393" s="6" t="s">
        <v>88</v>
      </c>
      <c r="C393" s="7"/>
      <c r="D393" s="8">
        <v>13469.61</v>
      </c>
    </row>
    <row r="394" spans="1:4" ht="24">
      <c r="A394" s="42" t="s">
        <v>18</v>
      </c>
      <c r="B394" s="6" t="s">
        <v>35</v>
      </c>
      <c r="C394" s="7"/>
      <c r="D394" s="8">
        <f>8339145.67+1495015.72+1550971.47+915682+2327025.47+243700</f>
        <v>14871540.330000002</v>
      </c>
    </row>
    <row r="395" spans="1:4" ht="24">
      <c r="A395" s="42" t="s">
        <v>19</v>
      </c>
      <c r="B395" s="6" t="s">
        <v>37</v>
      </c>
      <c r="C395" s="7"/>
      <c r="D395" s="8">
        <v>2499940.52</v>
      </c>
    </row>
    <row r="396" spans="1:4" ht="24">
      <c r="A396" s="42" t="s">
        <v>112</v>
      </c>
      <c r="B396" s="6" t="s">
        <v>113</v>
      </c>
      <c r="C396" s="7"/>
      <c r="D396" s="8">
        <v>2183055.52</v>
      </c>
    </row>
    <row r="397" spans="1:4" ht="24">
      <c r="A397" s="42" t="s">
        <v>117</v>
      </c>
      <c r="B397" s="6" t="s">
        <v>36</v>
      </c>
      <c r="C397" s="7"/>
      <c r="D397" s="8">
        <f>564170.2+112338.41-31096.11+87137.11-48625.13+177843.97-113142.01</f>
        <v>748626.44</v>
      </c>
    </row>
    <row r="398" spans="1:4" ht="24">
      <c r="A398" s="42" t="s">
        <v>17</v>
      </c>
      <c r="B398" s="6"/>
      <c r="C398" s="7"/>
      <c r="D398" s="8">
        <f>3135067.59-807000-528107.25-867372</f>
        <v>932588.3399999999</v>
      </c>
    </row>
    <row r="399" spans="1:4" ht="24">
      <c r="A399" s="43"/>
      <c r="B399" s="9"/>
      <c r="C399" s="10"/>
      <c r="D399" s="11"/>
    </row>
    <row r="400" spans="1:4" ht="24.75" thickBot="1">
      <c r="A400" s="5"/>
      <c r="B400" s="12"/>
      <c r="C400" s="13">
        <f>SUM(C375:C399)</f>
        <v>21249220.76</v>
      </c>
      <c r="D400" s="14">
        <f>SUM(D375:D399)</f>
        <v>21249220.76</v>
      </c>
    </row>
    <row r="401" spans="1:4" ht="24.75" thickTop="1">
      <c r="A401" s="5"/>
      <c r="B401" s="12"/>
      <c r="C401" s="15"/>
      <c r="D401" s="15"/>
    </row>
    <row r="403" spans="1:5" ht="21.75">
      <c r="A403" s="225" t="s">
        <v>83</v>
      </c>
      <c r="B403" s="225"/>
      <c r="C403" s="225"/>
      <c r="D403" s="225"/>
      <c r="E403" s="225"/>
    </row>
    <row r="404" spans="1:4" ht="21.75">
      <c r="A404" s="225" t="s">
        <v>109</v>
      </c>
      <c r="B404" s="225"/>
      <c r="C404" s="225"/>
      <c r="D404" s="225"/>
    </row>
    <row r="405" spans="1:4" ht="21.75">
      <c r="A405" s="225" t="s">
        <v>114</v>
      </c>
      <c r="B405" s="225"/>
      <c r="C405" s="225"/>
      <c r="D405" s="225"/>
    </row>
    <row r="407" spans="1:5" ht="23.25">
      <c r="A407" s="227" t="s">
        <v>0</v>
      </c>
      <c r="B407" s="227"/>
      <c r="C407" s="227"/>
      <c r="D407" s="227"/>
      <c r="E407" s="227"/>
    </row>
    <row r="408" spans="1:5" ht="23.25">
      <c r="A408" s="227" t="s">
        <v>90</v>
      </c>
      <c r="B408" s="227"/>
      <c r="C408" s="227"/>
      <c r="D408" s="227"/>
      <c r="E408" s="227"/>
    </row>
    <row r="409" spans="1:5" ht="23.25">
      <c r="A409" s="227" t="s">
        <v>127</v>
      </c>
      <c r="B409" s="227"/>
      <c r="C409" s="227"/>
      <c r="D409" s="227"/>
      <c r="E409" s="227"/>
    </row>
    <row r="410" spans="1:5" ht="23.25">
      <c r="A410" s="2" t="s">
        <v>1</v>
      </c>
      <c r="B410" s="2" t="s">
        <v>2</v>
      </c>
      <c r="C410" s="3" t="s">
        <v>38</v>
      </c>
      <c r="D410" s="3" t="s">
        <v>3</v>
      </c>
      <c r="E410" s="4"/>
    </row>
    <row r="411" spans="1:4" ht="24">
      <c r="A411" s="41" t="s">
        <v>4</v>
      </c>
      <c r="B411" s="6" t="s">
        <v>20</v>
      </c>
      <c r="C411" s="7">
        <v>1388</v>
      </c>
      <c r="D411" s="8"/>
    </row>
    <row r="412" spans="1:4" ht="24">
      <c r="A412" s="42" t="s">
        <v>70</v>
      </c>
      <c r="B412" s="6" t="s">
        <v>21</v>
      </c>
      <c r="C412" s="7">
        <f>9680860.62+402203.58+10484.93</f>
        <v>10093549.129999999</v>
      </c>
      <c r="D412" s="8"/>
    </row>
    <row r="413" spans="1:4" ht="24">
      <c r="A413" s="42" t="s">
        <v>71</v>
      </c>
      <c r="B413" s="6" t="s">
        <v>22</v>
      </c>
      <c r="C413" s="7">
        <v>2639868.79</v>
      </c>
      <c r="D413" s="8"/>
    </row>
    <row r="414" spans="1:4" ht="24">
      <c r="A414" s="42" t="s">
        <v>87</v>
      </c>
      <c r="B414" s="6" t="s">
        <v>89</v>
      </c>
      <c r="C414" s="7">
        <v>854462.82</v>
      </c>
      <c r="D414" s="8"/>
    </row>
    <row r="415" spans="1:4" ht="24">
      <c r="A415" s="42" t="s">
        <v>110</v>
      </c>
      <c r="B415" s="6" t="s">
        <v>111</v>
      </c>
      <c r="C415" s="7">
        <v>18102</v>
      </c>
      <c r="D415" s="8"/>
    </row>
    <row r="416" spans="1:4" ht="24">
      <c r="A416" s="42" t="s">
        <v>68</v>
      </c>
      <c r="B416" s="6" t="s">
        <v>69</v>
      </c>
      <c r="C416" s="7">
        <v>0</v>
      </c>
      <c r="D416" s="8"/>
    </row>
    <row r="417" spans="1:4" ht="24">
      <c r="A417" s="42" t="s">
        <v>5</v>
      </c>
      <c r="B417" s="6" t="s">
        <v>23</v>
      </c>
      <c r="C417" s="7">
        <v>0</v>
      </c>
      <c r="D417" s="8"/>
    </row>
    <row r="418" spans="1:4" ht="24">
      <c r="A418" s="42" t="s">
        <v>14</v>
      </c>
      <c r="B418" s="6" t="s">
        <v>32</v>
      </c>
      <c r="C418" s="7">
        <f>439736+4118+882+5404+882+47156+882+48492+882</f>
        <v>548434</v>
      </c>
      <c r="D418" s="8"/>
    </row>
    <row r="419" spans="1:4" ht="24">
      <c r="A419" s="42" t="s">
        <v>6</v>
      </c>
      <c r="B419" s="6" t="s">
        <v>24</v>
      </c>
      <c r="C419" s="7">
        <f>679075+121450+125610+123530+123530</f>
        <v>1173195</v>
      </c>
      <c r="D419" s="8"/>
    </row>
    <row r="420" spans="1:4" ht="24">
      <c r="A420" s="42" t="s">
        <v>7</v>
      </c>
      <c r="B420" s="6" t="s">
        <v>25</v>
      </c>
      <c r="C420" s="7">
        <f>282240+34692+38220+35280+45570+17640+45570+38220</f>
        <v>537432</v>
      </c>
      <c r="D420" s="8"/>
    </row>
    <row r="421" spans="1:4" ht="24">
      <c r="A421" s="42" t="s">
        <v>8</v>
      </c>
      <c r="B421" s="6" t="s">
        <v>26</v>
      </c>
      <c r="C421" s="7">
        <f>1069244.55+190582+202841+199718.5+240738.75</f>
        <v>1903124.8</v>
      </c>
      <c r="D421" s="8"/>
    </row>
    <row r="422" spans="1:4" ht="24">
      <c r="A422" s="42" t="s">
        <v>9</v>
      </c>
      <c r="B422" s="6" t="s">
        <v>27</v>
      </c>
      <c r="C422" s="7">
        <f>508121.92+121620.3+178761.6+404237.3+84905.3</f>
        <v>1297646.42</v>
      </c>
      <c r="D422" s="8"/>
    </row>
    <row r="423" spans="1:4" ht="24">
      <c r="A423" s="42" t="s">
        <v>10</v>
      </c>
      <c r="B423" s="6" t="s">
        <v>28</v>
      </c>
      <c r="C423" s="7">
        <f>880694.22+28000+13650+140497+649000.1+141301.5+13000+149196+203500</f>
        <v>2218838.82</v>
      </c>
      <c r="D423" s="8"/>
    </row>
    <row r="424" spans="1:4" ht="24">
      <c r="A424" s="42" t="s">
        <v>11</v>
      </c>
      <c r="B424" s="6" t="s">
        <v>29</v>
      </c>
      <c r="C424" s="7">
        <f>82496.01+20289.33+20414.26+17331.19+17262.03</f>
        <v>157792.81999999998</v>
      </c>
      <c r="D424" s="8"/>
    </row>
    <row r="425" spans="1:4" ht="24">
      <c r="A425" s="42" t="s">
        <v>16</v>
      </c>
      <c r="B425" s="6" t="s">
        <v>34</v>
      </c>
      <c r="C425" s="7">
        <f>549700+1500+15000+340000</f>
        <v>906200</v>
      </c>
      <c r="D425" s="8"/>
    </row>
    <row r="426" spans="1:4" ht="24">
      <c r="A426" s="42" t="s">
        <v>12</v>
      </c>
      <c r="B426" s="6" t="s">
        <v>30</v>
      </c>
      <c r="C426" s="7">
        <f>81800+99000</f>
        <v>180800</v>
      </c>
      <c r="D426" s="8"/>
    </row>
    <row r="427" spans="1:4" ht="24">
      <c r="A427" s="42" t="s">
        <v>13</v>
      </c>
      <c r="B427" s="6" t="s">
        <v>31</v>
      </c>
      <c r="C427" s="7">
        <f>524440+850200</f>
        <v>1374640</v>
      </c>
      <c r="D427" s="8"/>
    </row>
    <row r="428" spans="1:4" ht="24">
      <c r="A428" s="42" t="s">
        <v>91</v>
      </c>
      <c r="B428" s="6" t="s">
        <v>92</v>
      </c>
      <c r="C428" s="7">
        <v>0</v>
      </c>
      <c r="D428" s="8"/>
    </row>
    <row r="429" spans="1:4" ht="24">
      <c r="A429" s="42" t="s">
        <v>118</v>
      </c>
      <c r="B429" s="6" t="s">
        <v>88</v>
      </c>
      <c r="C429" s="7"/>
      <c r="D429" s="8">
        <v>13469.61</v>
      </c>
    </row>
    <row r="430" spans="1:4" ht="24">
      <c r="A430" s="42" t="s">
        <v>18</v>
      </c>
      <c r="B430" s="6" t="s">
        <v>35</v>
      </c>
      <c r="C430" s="7"/>
      <c r="D430" s="8">
        <f>8339145.67+1495015.72+1550971.47+915682+2327025.47+243700+2076898.39+530592</f>
        <v>17479030.720000003</v>
      </c>
    </row>
    <row r="431" spans="1:4" ht="24">
      <c r="A431" s="42" t="s">
        <v>19</v>
      </c>
      <c r="B431" s="6" t="s">
        <v>37</v>
      </c>
      <c r="C431" s="7"/>
      <c r="D431" s="8">
        <v>2499940.52</v>
      </c>
    </row>
    <row r="432" spans="1:4" ht="24">
      <c r="A432" s="42" t="s">
        <v>112</v>
      </c>
      <c r="B432" s="6" t="s">
        <v>113</v>
      </c>
      <c r="C432" s="7"/>
      <c r="D432" s="8">
        <v>2183055.52</v>
      </c>
    </row>
    <row r="433" spans="1:4" ht="24">
      <c r="A433" s="42" t="s">
        <v>117</v>
      </c>
      <c r="B433" s="6" t="s">
        <v>36</v>
      </c>
      <c r="C433" s="7"/>
      <c r="D433" s="8">
        <f>564170.2+112338.41-31096.11+87137.11-48625.13+177843.97-113142.01+89294.97-17831.52</f>
        <v>820089.8899999999</v>
      </c>
    </row>
    <row r="434" spans="1:4" ht="24">
      <c r="A434" s="42" t="s">
        <v>17</v>
      </c>
      <c r="B434" s="6"/>
      <c r="C434" s="7"/>
      <c r="D434" s="8">
        <f>3135067.59-807000-528107.25-867372-22700</f>
        <v>909888.3399999999</v>
      </c>
    </row>
    <row r="435" spans="1:4" ht="24">
      <c r="A435" s="43"/>
      <c r="B435" s="9"/>
      <c r="C435" s="10"/>
      <c r="D435" s="11"/>
    </row>
    <row r="436" spans="1:6" ht="24.75" thickBot="1">
      <c r="A436" s="5"/>
      <c r="B436" s="12"/>
      <c r="C436" s="13">
        <f>SUM(C411:C435)</f>
        <v>23905474.6</v>
      </c>
      <c r="D436" s="14">
        <f>SUM(D411:D435)</f>
        <v>23905474.6</v>
      </c>
      <c r="F436" s="85">
        <f>C436-D436</f>
        <v>0</v>
      </c>
    </row>
    <row r="437" spans="1:4" ht="24.75" thickTop="1">
      <c r="A437" s="5"/>
      <c r="B437" s="12"/>
      <c r="C437" s="15"/>
      <c r="D437" s="15"/>
    </row>
    <row r="438" spans="1:5" ht="21.75">
      <c r="A438" s="225" t="s">
        <v>83</v>
      </c>
      <c r="B438" s="225"/>
      <c r="C438" s="225"/>
      <c r="D438" s="225"/>
      <c r="E438" s="225"/>
    </row>
    <row r="439" spans="1:4" ht="21.75">
      <c r="A439" s="225" t="s">
        <v>109</v>
      </c>
      <c r="B439" s="225"/>
      <c r="C439" s="225"/>
      <c r="D439" s="225"/>
    </row>
    <row r="440" spans="1:4" ht="21.75">
      <c r="A440" s="225" t="s">
        <v>114</v>
      </c>
      <c r="B440" s="225"/>
      <c r="C440" s="225"/>
      <c r="D440" s="225"/>
    </row>
    <row r="441" spans="1:4" ht="21.75">
      <c r="A441" s="80"/>
      <c r="B441" s="80"/>
      <c r="C441" s="80"/>
      <c r="D441" s="80"/>
    </row>
    <row r="442" spans="1:4" ht="21.75">
      <c r="A442" s="80"/>
      <c r="B442" s="80"/>
      <c r="C442" s="80"/>
      <c r="D442" s="80"/>
    </row>
    <row r="443" spans="1:5" ht="23.25">
      <c r="A443" s="227" t="s">
        <v>0</v>
      </c>
      <c r="B443" s="227"/>
      <c r="C443" s="227"/>
      <c r="D443" s="227"/>
      <c r="E443" s="227"/>
    </row>
    <row r="444" spans="1:5" ht="23.25">
      <c r="A444" s="227" t="s">
        <v>90</v>
      </c>
      <c r="B444" s="227"/>
      <c r="C444" s="227"/>
      <c r="D444" s="227"/>
      <c r="E444" s="227"/>
    </row>
    <row r="445" spans="1:5" ht="23.25">
      <c r="A445" s="227" t="s">
        <v>128</v>
      </c>
      <c r="B445" s="227"/>
      <c r="C445" s="227"/>
      <c r="D445" s="227"/>
      <c r="E445" s="227"/>
    </row>
    <row r="446" spans="1:5" ht="23.25">
      <c r="A446" s="2" t="s">
        <v>1</v>
      </c>
      <c r="B446" s="2" t="s">
        <v>2</v>
      </c>
      <c r="C446" s="3" t="s">
        <v>38</v>
      </c>
      <c r="D446" s="3" t="s">
        <v>3</v>
      </c>
      <c r="E446" s="4"/>
    </row>
    <row r="447" spans="1:4" ht="24">
      <c r="A447" s="41" t="s">
        <v>4</v>
      </c>
      <c r="B447" s="6" t="s">
        <v>20</v>
      </c>
      <c r="C447" s="7">
        <v>0</v>
      </c>
      <c r="D447" s="8"/>
    </row>
    <row r="448" spans="1:4" ht="24">
      <c r="A448" s="42" t="s">
        <v>70</v>
      </c>
      <c r="B448" s="6" t="s">
        <v>21</v>
      </c>
      <c r="C448" s="7">
        <v>9796455.44</v>
      </c>
      <c r="D448" s="8"/>
    </row>
    <row r="449" spans="1:4" ht="24">
      <c r="A449" s="42" t="s">
        <v>71</v>
      </c>
      <c r="B449" s="6" t="s">
        <v>22</v>
      </c>
      <c r="C449" s="7">
        <v>2639868.79</v>
      </c>
      <c r="D449" s="8"/>
    </row>
    <row r="450" spans="1:4" ht="24">
      <c r="A450" s="42" t="s">
        <v>87</v>
      </c>
      <c r="B450" s="6" t="s">
        <v>89</v>
      </c>
      <c r="C450" s="7">
        <v>0</v>
      </c>
      <c r="D450" s="8"/>
    </row>
    <row r="451" spans="1:4" ht="24">
      <c r="A451" s="42" t="s">
        <v>110</v>
      </c>
      <c r="B451" s="6" t="s">
        <v>111</v>
      </c>
      <c r="C451" s="7">
        <v>18102</v>
      </c>
      <c r="D451" s="8"/>
    </row>
    <row r="452" spans="1:4" ht="24">
      <c r="A452" s="42" t="s">
        <v>68</v>
      </c>
      <c r="B452" s="6" t="s">
        <v>69</v>
      </c>
      <c r="C452" s="7">
        <v>0</v>
      </c>
      <c r="D452" s="8"/>
    </row>
    <row r="453" spans="1:4" ht="24">
      <c r="A453" s="42" t="s">
        <v>5</v>
      </c>
      <c r="B453" s="6" t="s">
        <v>23</v>
      </c>
      <c r="C453" s="7">
        <v>0</v>
      </c>
      <c r="D453" s="8"/>
    </row>
    <row r="454" spans="1:4" ht="24">
      <c r="A454" s="42" t="s">
        <v>14</v>
      </c>
      <c r="B454" s="6" t="s">
        <v>32</v>
      </c>
      <c r="C454" s="7">
        <f>439736+4118+882+5404+882+47156+882+48492+882+62242+416060</f>
        <v>1026736</v>
      </c>
      <c r="D454" s="8"/>
    </row>
    <row r="455" spans="1:4" ht="24">
      <c r="A455" s="42" t="s">
        <v>6</v>
      </c>
      <c r="B455" s="6" t="s">
        <v>24</v>
      </c>
      <c r="C455" s="7">
        <f>679075+121450+125610+123530+123530+130880</f>
        <v>1304075</v>
      </c>
      <c r="D455" s="8"/>
    </row>
    <row r="456" spans="1:4" ht="24">
      <c r="A456" s="42" t="s">
        <v>7</v>
      </c>
      <c r="B456" s="6" t="s">
        <v>25</v>
      </c>
      <c r="C456" s="7">
        <f>282240+34692+38220+35280+45570+17640+45570+38220+55670+20580</f>
        <v>613682</v>
      </c>
      <c r="D456" s="8"/>
    </row>
    <row r="457" spans="1:4" ht="24">
      <c r="A457" s="42" t="s">
        <v>8</v>
      </c>
      <c r="B457" s="6" t="s">
        <v>26</v>
      </c>
      <c r="C457" s="7">
        <f>1069244.55+190582+202841+199718.5+240738.75+243942</f>
        <v>2147066.8</v>
      </c>
      <c r="D457" s="8"/>
    </row>
    <row r="458" spans="1:4" ht="24">
      <c r="A458" s="42" t="s">
        <v>9</v>
      </c>
      <c r="B458" s="6" t="s">
        <v>27</v>
      </c>
      <c r="C458" s="7">
        <f>508121.92+121620.3+178761.6+404237.3+84905.3+254144.3</f>
        <v>1551790.72</v>
      </c>
      <c r="D458" s="8"/>
    </row>
    <row r="459" spans="1:4" ht="24">
      <c r="A459" s="42" t="s">
        <v>10</v>
      </c>
      <c r="B459" s="6" t="s">
        <v>28</v>
      </c>
      <c r="C459" s="7">
        <f>880694.22+28000+13650+140497+649000.1+141301.5+13000+149196+203500+66620+122168.2</f>
        <v>2407627.02</v>
      </c>
      <c r="D459" s="8"/>
    </row>
    <row r="460" spans="1:4" ht="24">
      <c r="A460" s="42" t="s">
        <v>11</v>
      </c>
      <c r="B460" s="6" t="s">
        <v>29</v>
      </c>
      <c r="C460" s="7">
        <f>82496.01+20289.33+20414.26+17331.19+17262.03+22130.41</f>
        <v>179923.22999999998</v>
      </c>
      <c r="D460" s="8"/>
    </row>
    <row r="461" spans="1:4" ht="24">
      <c r="A461" s="42" t="s">
        <v>16</v>
      </c>
      <c r="B461" s="6" t="s">
        <v>34</v>
      </c>
      <c r="C461" s="7">
        <f>549700+1500+15000+340000+219360+10000</f>
        <v>1135560</v>
      </c>
      <c r="D461" s="8"/>
    </row>
    <row r="462" spans="1:4" ht="24">
      <c r="A462" s="42" t="s">
        <v>12</v>
      </c>
      <c r="B462" s="6" t="s">
        <v>30</v>
      </c>
      <c r="C462" s="7">
        <f>81800+99000+162600</f>
        <v>343400</v>
      </c>
      <c r="D462" s="8"/>
    </row>
    <row r="463" spans="1:4" ht="24">
      <c r="A463" s="42" t="s">
        <v>13</v>
      </c>
      <c r="B463" s="6" t="s">
        <v>31</v>
      </c>
      <c r="C463" s="7">
        <f>524440+850200+398240</f>
        <v>1772880</v>
      </c>
      <c r="D463" s="8"/>
    </row>
    <row r="464" spans="1:4" ht="24">
      <c r="A464" s="42" t="s">
        <v>91</v>
      </c>
      <c r="B464" s="6" t="s">
        <v>92</v>
      </c>
      <c r="C464" s="7">
        <v>0</v>
      </c>
      <c r="D464" s="8"/>
    </row>
    <row r="465" spans="1:4" ht="24">
      <c r="A465" s="42" t="s">
        <v>118</v>
      </c>
      <c r="B465" s="6" t="s">
        <v>88</v>
      </c>
      <c r="C465" s="7"/>
      <c r="D465" s="8">
        <v>13469.61</v>
      </c>
    </row>
    <row r="466" spans="1:4" ht="24">
      <c r="A466" s="42" t="s">
        <v>18</v>
      </c>
      <c r="B466" s="6" t="s">
        <v>35</v>
      </c>
      <c r="C466" s="7"/>
      <c r="D466" s="8">
        <f>8339145.67+1495015.72+1550971.47+915682+2327025.47+243700+2076898.39+530592+1535138.1</f>
        <v>19014168.820000004</v>
      </c>
    </row>
    <row r="467" spans="1:4" ht="24">
      <c r="A467" s="42" t="s">
        <v>19</v>
      </c>
      <c r="B467" s="6" t="s">
        <v>37</v>
      </c>
      <c r="C467" s="7"/>
      <c r="D467" s="8">
        <v>2499940.52</v>
      </c>
    </row>
    <row r="468" spans="1:4" ht="24">
      <c r="A468" s="42" t="s">
        <v>112</v>
      </c>
      <c r="B468" s="6" t="s">
        <v>113</v>
      </c>
      <c r="C468" s="7"/>
      <c r="D468" s="8">
        <v>2183055.52</v>
      </c>
    </row>
    <row r="469" spans="1:4" ht="24">
      <c r="A469" s="42" t="s">
        <v>117</v>
      </c>
      <c r="B469" s="6" t="s">
        <v>36</v>
      </c>
      <c r="C469" s="7"/>
      <c r="D469" s="8">
        <f>564170.2+112338.41-31096.11+87137.11-48625.13+177843.97-113142.01+89294.97-17831.52+203406.3-70752</f>
        <v>952744.19</v>
      </c>
    </row>
    <row r="470" spans="1:4" ht="24">
      <c r="A470" s="42" t="s">
        <v>17</v>
      </c>
      <c r="B470" s="6"/>
      <c r="C470" s="7"/>
      <c r="D470" s="8">
        <f>3135067.59-807000-528107.25-867372-22700-636100</f>
        <v>273788.33999999985</v>
      </c>
    </row>
    <row r="471" spans="1:4" ht="24">
      <c r="A471" s="43"/>
      <c r="B471" s="9"/>
      <c r="C471" s="10"/>
      <c r="D471" s="11"/>
    </row>
    <row r="472" spans="1:6" ht="24.75" thickBot="1">
      <c r="A472" s="5"/>
      <c r="B472" s="12"/>
      <c r="C472" s="13">
        <f>SUM(C447:C471)</f>
        <v>24937167</v>
      </c>
      <c r="D472" s="14">
        <f>SUM(D447:D471)</f>
        <v>24937167.000000004</v>
      </c>
      <c r="F472" s="85">
        <f>C472-D472</f>
        <v>0</v>
      </c>
    </row>
    <row r="473" spans="1:4" ht="24.75" thickTop="1">
      <c r="A473" s="5"/>
      <c r="B473" s="12"/>
      <c r="C473" s="15"/>
      <c r="D473" s="15"/>
    </row>
    <row r="475" spans="1:5" ht="21.75">
      <c r="A475" s="225" t="s">
        <v>83</v>
      </c>
      <c r="B475" s="225"/>
      <c r="C475" s="225"/>
      <c r="D475" s="225"/>
      <c r="E475" s="225"/>
    </row>
    <row r="476" spans="1:4" ht="21.75">
      <c r="A476" s="225" t="s">
        <v>109</v>
      </c>
      <c r="B476" s="225"/>
      <c r="C476" s="225"/>
      <c r="D476" s="225"/>
    </row>
    <row r="477" spans="1:4" ht="21.75">
      <c r="A477" s="225" t="s">
        <v>114</v>
      </c>
      <c r="B477" s="225"/>
      <c r="C477" s="225"/>
      <c r="D477" s="225"/>
    </row>
  </sheetData>
  <mergeCells count="78">
    <mergeCell ref="A332:D332"/>
    <mergeCell ref="A333:D333"/>
    <mergeCell ref="A299:E299"/>
    <mergeCell ref="A300:E300"/>
    <mergeCell ref="A301:E301"/>
    <mergeCell ref="A331:E331"/>
    <mergeCell ref="A35:D35"/>
    <mergeCell ref="A36:D36"/>
    <mergeCell ref="A1:E1"/>
    <mergeCell ref="A2:E2"/>
    <mergeCell ref="A3:E3"/>
    <mergeCell ref="A34:E34"/>
    <mergeCell ref="A37:E37"/>
    <mergeCell ref="A38:E38"/>
    <mergeCell ref="A39:E39"/>
    <mergeCell ref="A71:E71"/>
    <mergeCell ref="A72:D72"/>
    <mergeCell ref="A73:D73"/>
    <mergeCell ref="A155:E155"/>
    <mergeCell ref="A156:E156"/>
    <mergeCell ref="A74:E74"/>
    <mergeCell ref="A75:E75"/>
    <mergeCell ref="A76:E76"/>
    <mergeCell ref="A110:E110"/>
    <mergeCell ref="A111:D111"/>
    <mergeCell ref="A112:D112"/>
    <mergeCell ref="A157:E157"/>
    <mergeCell ref="A188:E188"/>
    <mergeCell ref="A189:D189"/>
    <mergeCell ref="A190:D190"/>
    <mergeCell ref="A224:D224"/>
    <mergeCell ref="A225:D225"/>
    <mergeCell ref="A191:E191"/>
    <mergeCell ref="A192:E192"/>
    <mergeCell ref="A193:E193"/>
    <mergeCell ref="A223:E223"/>
    <mergeCell ref="A227:E227"/>
    <mergeCell ref="A228:E228"/>
    <mergeCell ref="A229:E229"/>
    <mergeCell ref="A260:E260"/>
    <mergeCell ref="A261:D261"/>
    <mergeCell ref="A262:D262"/>
    <mergeCell ref="A263:E263"/>
    <mergeCell ref="A264:E264"/>
    <mergeCell ref="A265:E265"/>
    <mergeCell ref="A295:E295"/>
    <mergeCell ref="A296:D296"/>
    <mergeCell ref="A297:D297"/>
    <mergeCell ref="A335:E335"/>
    <mergeCell ref="A336:E336"/>
    <mergeCell ref="A337:E337"/>
    <mergeCell ref="A367:E367"/>
    <mergeCell ref="A368:D368"/>
    <mergeCell ref="A369:D369"/>
    <mergeCell ref="A371:E371"/>
    <mergeCell ref="A372:E372"/>
    <mergeCell ref="A373:E373"/>
    <mergeCell ref="A403:E403"/>
    <mergeCell ref="A404:D404"/>
    <mergeCell ref="A405:D405"/>
    <mergeCell ref="A439:D439"/>
    <mergeCell ref="A440:D440"/>
    <mergeCell ref="A407:E407"/>
    <mergeCell ref="A408:E408"/>
    <mergeCell ref="A409:E409"/>
    <mergeCell ref="A438:E438"/>
    <mergeCell ref="A476:D476"/>
    <mergeCell ref="A477:D477"/>
    <mergeCell ref="A443:E443"/>
    <mergeCell ref="A444:E444"/>
    <mergeCell ref="A445:E445"/>
    <mergeCell ref="A475:E475"/>
    <mergeCell ref="A153:D153"/>
    <mergeCell ref="A154:D154"/>
    <mergeCell ref="A113:E113"/>
    <mergeCell ref="A114:E114"/>
    <mergeCell ref="A115:E115"/>
    <mergeCell ref="A152:E152"/>
  </mergeCells>
  <printOptions/>
  <pageMargins left="0.74" right="0.11811023622047245" top="0.31" bottom="0.2755905511811024" header="0.07874015748031496" footer="0.1574803149606299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0"/>
  </sheetPr>
  <dimension ref="A1:H329"/>
  <sheetViews>
    <sheetView view="pageBreakPreview" zoomScaleSheetLayoutView="100" workbookViewId="0" topLeftCell="A52">
      <selection activeCell="A330" sqref="A330:IV961"/>
    </sheetView>
  </sheetViews>
  <sheetFormatPr defaultColWidth="9.140625" defaultRowHeight="21.75"/>
  <cols>
    <col min="1" max="2" width="18.7109375" style="45" customWidth="1"/>
    <col min="3" max="3" width="1.7109375" style="45" customWidth="1"/>
    <col min="4" max="4" width="38.421875" style="45" customWidth="1"/>
    <col min="5" max="5" width="10.00390625" style="55" customWidth="1"/>
    <col min="6" max="6" width="18.8515625" style="45" customWidth="1"/>
    <col min="7" max="7" width="14.57421875" style="45" bestFit="1" customWidth="1"/>
    <col min="8" max="8" width="15.7109375" style="45" bestFit="1" customWidth="1"/>
    <col min="9" max="16384" width="9.140625" style="45" customWidth="1"/>
  </cols>
  <sheetData>
    <row r="1" spans="1:8" ht="26.25">
      <c r="A1" s="236" t="s">
        <v>0</v>
      </c>
      <c r="B1" s="236"/>
      <c r="C1" s="236"/>
      <c r="D1" s="236"/>
      <c r="E1" s="236"/>
      <c r="F1" s="236"/>
      <c r="G1" s="44"/>
      <c r="H1" s="44"/>
    </row>
    <row r="2" spans="1:8" ht="26.25">
      <c r="A2" s="236" t="s">
        <v>40</v>
      </c>
      <c r="B2" s="236"/>
      <c r="C2" s="236"/>
      <c r="D2" s="236"/>
      <c r="E2" s="236"/>
      <c r="F2" s="236"/>
      <c r="G2" s="44"/>
      <c r="H2" s="44"/>
    </row>
    <row r="3" spans="1:6" ht="23.25">
      <c r="A3" s="46"/>
      <c r="B3" s="46"/>
      <c r="C3" s="46"/>
      <c r="D3" s="46"/>
      <c r="E3" s="46" t="s">
        <v>143</v>
      </c>
      <c r="F3" s="46"/>
    </row>
    <row r="4" spans="1:8" ht="23.25">
      <c r="A4" s="237" t="s">
        <v>41</v>
      </c>
      <c r="B4" s="237"/>
      <c r="C4" s="237"/>
      <c r="D4" s="237"/>
      <c r="E4" s="237"/>
      <c r="F4" s="237"/>
      <c r="G4" s="48"/>
      <c r="H4" s="48"/>
    </row>
    <row r="5" spans="1:6" ht="24" thickBot="1">
      <c r="A5" s="46"/>
      <c r="B5" s="46"/>
      <c r="C5" s="46"/>
      <c r="D5" s="238" t="s">
        <v>144</v>
      </c>
      <c r="E5" s="238"/>
      <c r="F5" s="238"/>
    </row>
    <row r="6" spans="1:6" ht="24" thickTop="1">
      <c r="A6" s="231" t="s">
        <v>42</v>
      </c>
      <c r="B6" s="232"/>
      <c r="C6" s="66"/>
      <c r="D6" s="66"/>
      <c r="E6" s="67"/>
      <c r="F6" s="68" t="s">
        <v>47</v>
      </c>
    </row>
    <row r="7" spans="1:6" ht="23.25">
      <c r="A7" s="69" t="s">
        <v>43</v>
      </c>
      <c r="B7" s="70" t="s">
        <v>44</v>
      </c>
      <c r="C7" s="71"/>
      <c r="D7" s="71" t="s">
        <v>1</v>
      </c>
      <c r="E7" s="72" t="s">
        <v>45</v>
      </c>
      <c r="F7" s="73" t="s">
        <v>44</v>
      </c>
    </row>
    <row r="8" spans="1:6" ht="24" thickBot="1">
      <c r="A8" s="69" t="s">
        <v>39</v>
      </c>
      <c r="B8" s="74" t="s">
        <v>39</v>
      </c>
      <c r="C8" s="65"/>
      <c r="D8" s="65"/>
      <c r="E8" s="75" t="s">
        <v>46</v>
      </c>
      <c r="F8" s="74" t="s">
        <v>39</v>
      </c>
    </row>
    <row r="9" spans="1:6" ht="24" thickTop="1">
      <c r="A9" s="58"/>
      <c r="B9" s="76">
        <v>9333549.59</v>
      </c>
      <c r="D9" s="47" t="s">
        <v>48</v>
      </c>
      <c r="E9" s="50"/>
      <c r="F9" s="77">
        <v>12369531.42</v>
      </c>
    </row>
    <row r="10" spans="1:6" ht="23.25">
      <c r="A10" s="51"/>
      <c r="B10" s="51"/>
      <c r="C10" s="64" t="s">
        <v>86</v>
      </c>
      <c r="E10" s="50"/>
      <c r="F10" s="51"/>
    </row>
    <row r="11" spans="1:6" ht="22.5">
      <c r="A11" s="51">
        <v>212000</v>
      </c>
      <c r="B11" s="51">
        <f>รายรับ!F9</f>
        <v>241844.38</v>
      </c>
      <c r="D11" s="45" t="s">
        <v>49</v>
      </c>
      <c r="E11" s="49" t="s">
        <v>57</v>
      </c>
      <c r="F11" s="51">
        <f>รายรับ!E9</f>
        <v>4011.23</v>
      </c>
    </row>
    <row r="12" spans="1:6" ht="22.5">
      <c r="A12" s="51">
        <v>220800</v>
      </c>
      <c r="B12" s="51">
        <f>รายรับ!F18</f>
        <v>227949</v>
      </c>
      <c r="D12" s="45" t="s">
        <v>50</v>
      </c>
      <c r="E12" s="49" t="s">
        <v>58</v>
      </c>
      <c r="F12" s="51">
        <f>รายรับ!E18</f>
        <v>19980</v>
      </c>
    </row>
    <row r="13" spans="1:6" ht="22.5">
      <c r="A13" s="51">
        <v>136000</v>
      </c>
      <c r="B13" s="51">
        <f>รายรับ!F22</f>
        <v>59719.86</v>
      </c>
      <c r="D13" s="45" t="s">
        <v>51</v>
      </c>
      <c r="E13" s="49" t="s">
        <v>59</v>
      </c>
      <c r="F13" s="51">
        <f>รายรับ!E22</f>
        <v>0</v>
      </c>
    </row>
    <row r="14" spans="1:6" ht="22.5">
      <c r="A14" s="51">
        <v>260000</v>
      </c>
      <c r="B14" s="51">
        <f>รายรับ!F26</f>
        <v>131422</v>
      </c>
      <c r="D14" s="45" t="s">
        <v>52</v>
      </c>
      <c r="E14" s="49" t="s">
        <v>60</v>
      </c>
      <c r="F14" s="51">
        <f>รายรับ!E26</f>
        <v>45030</v>
      </c>
    </row>
    <row r="15" spans="1:6" ht="22.5">
      <c r="A15" s="51">
        <v>421200</v>
      </c>
      <c r="B15" s="51">
        <f>รายรับ!F31</f>
        <v>209155</v>
      </c>
      <c r="D15" s="45" t="s">
        <v>53</v>
      </c>
      <c r="E15" s="49" t="s">
        <v>61</v>
      </c>
      <c r="F15" s="51">
        <f>รายรับ!E31</f>
        <v>27600</v>
      </c>
    </row>
    <row r="16" spans="1:6" ht="22.5">
      <c r="A16" s="51">
        <v>0</v>
      </c>
      <c r="B16" s="51">
        <f>F16</f>
        <v>0</v>
      </c>
      <c r="D16" s="45" t="s">
        <v>54</v>
      </c>
      <c r="E16" s="49" t="s">
        <v>62</v>
      </c>
      <c r="F16" s="51"/>
    </row>
    <row r="17" spans="1:6" ht="22.5">
      <c r="A17" s="51">
        <v>9050000</v>
      </c>
      <c r="B17" s="51">
        <f>รายรับ!F41</f>
        <v>7657629.72</v>
      </c>
      <c r="D17" s="45" t="s">
        <v>55</v>
      </c>
      <c r="E17" s="49" t="s">
        <v>63</v>
      </c>
      <c r="F17" s="51">
        <f>รายรับ!E41</f>
        <v>1038857.55</v>
      </c>
    </row>
    <row r="18" spans="1:6" ht="22.5">
      <c r="A18" s="52">
        <v>12200000</v>
      </c>
      <c r="B18" s="51">
        <f>รายรับ!F44</f>
        <v>10594430.39</v>
      </c>
      <c r="D18" s="45" t="s">
        <v>187</v>
      </c>
      <c r="E18" s="49" t="s">
        <v>64</v>
      </c>
      <c r="F18" s="52">
        <f>รายรับ!E44</f>
        <v>3086926</v>
      </c>
    </row>
    <row r="19" spans="1:6" ht="24" thickBot="1">
      <c r="A19" s="104">
        <f>SUM(A11:A18)</f>
        <v>22500000</v>
      </c>
      <c r="B19" s="78">
        <f>SUM(B11:B18)</f>
        <v>19122150.35</v>
      </c>
      <c r="E19" s="49"/>
      <c r="F19" s="78">
        <f>SUM(F11:F18)</f>
        <v>4222404.78</v>
      </c>
    </row>
    <row r="20" spans="1:6" ht="23.25" thickTop="1">
      <c r="A20" s="53"/>
      <c r="B20" s="51">
        <f>รายรับ!F49</f>
        <v>1248808.7</v>
      </c>
      <c r="D20" s="45" t="s">
        <v>56</v>
      </c>
      <c r="E20" s="49" t="s">
        <v>65</v>
      </c>
      <c r="F20" s="51">
        <f>รายรับ!E49</f>
        <v>25830</v>
      </c>
    </row>
    <row r="21" spans="1:6" ht="22.5">
      <c r="A21" s="53"/>
      <c r="B21" s="51">
        <f>372058.59+F21</f>
        <v>387098.02</v>
      </c>
      <c r="D21" s="45" t="s">
        <v>117</v>
      </c>
      <c r="E21" s="49" t="s">
        <v>36</v>
      </c>
      <c r="F21" s="51">
        <v>15039.43</v>
      </c>
    </row>
    <row r="22" spans="1:6" ht="22.5">
      <c r="A22" s="53"/>
      <c r="B22" s="51">
        <f>F22</f>
        <v>0</v>
      </c>
      <c r="D22" s="45" t="s">
        <v>19</v>
      </c>
      <c r="E22" s="49" t="s">
        <v>37</v>
      </c>
      <c r="F22" s="51">
        <v>0</v>
      </c>
    </row>
    <row r="23" spans="1:6" ht="22.5">
      <c r="A23" s="53"/>
      <c r="B23" s="51">
        <v>180</v>
      </c>
      <c r="D23" s="103" t="s">
        <v>188</v>
      </c>
      <c r="E23" s="49" t="s">
        <v>104</v>
      </c>
      <c r="F23" s="51">
        <v>0</v>
      </c>
    </row>
    <row r="24" spans="1:6" ht="22.5">
      <c r="A24" s="53"/>
      <c r="B24" s="51"/>
      <c r="E24" s="50"/>
      <c r="F24" s="51"/>
    </row>
    <row r="25" spans="1:6" ht="22.5">
      <c r="A25" s="53"/>
      <c r="B25" s="51"/>
      <c r="E25" s="49"/>
      <c r="F25" s="51"/>
    </row>
    <row r="26" spans="1:6" ht="22.5">
      <c r="A26" s="53"/>
      <c r="B26" s="51"/>
      <c r="E26" s="49"/>
      <c r="F26" s="51"/>
    </row>
    <row r="27" spans="1:6" ht="22.5">
      <c r="A27" s="53"/>
      <c r="B27" s="54">
        <f>SUM(B20:B26)</f>
        <v>1636086.72</v>
      </c>
      <c r="E27" s="49"/>
      <c r="F27" s="54">
        <f>SUM(F20:F26)</f>
        <v>40869.43</v>
      </c>
    </row>
    <row r="28" spans="2:6" ht="26.25" customHeight="1">
      <c r="B28" s="61">
        <f>B19+B27</f>
        <v>20758237.07</v>
      </c>
      <c r="C28" s="46"/>
      <c r="D28" s="47" t="s">
        <v>66</v>
      </c>
      <c r="E28" s="62"/>
      <c r="F28" s="63">
        <f>F19+F27</f>
        <v>4263274.21</v>
      </c>
    </row>
    <row r="37" ht="16.5" customHeight="1"/>
    <row r="38" ht="18.75" customHeight="1" thickBot="1">
      <c r="F38" s="106" t="s">
        <v>194</v>
      </c>
    </row>
    <row r="39" spans="1:6" ht="18.75" customHeight="1" thickTop="1">
      <c r="A39" s="233" t="s">
        <v>42</v>
      </c>
      <c r="B39" s="234"/>
      <c r="C39" s="107"/>
      <c r="D39" s="108"/>
      <c r="E39" s="109"/>
      <c r="F39" s="110" t="s">
        <v>47</v>
      </c>
    </row>
    <row r="40" spans="1:6" ht="18.75" customHeight="1">
      <c r="A40" s="111" t="s">
        <v>43</v>
      </c>
      <c r="B40" s="112" t="s">
        <v>44</v>
      </c>
      <c r="C40" s="113"/>
      <c r="D40" s="113" t="s">
        <v>1</v>
      </c>
      <c r="E40" s="114" t="s">
        <v>45</v>
      </c>
      <c r="F40" s="115" t="s">
        <v>44</v>
      </c>
    </row>
    <row r="41" spans="1:6" ht="18.75" customHeight="1" thickBot="1">
      <c r="A41" s="111" t="s">
        <v>39</v>
      </c>
      <c r="B41" s="116" t="s">
        <v>39</v>
      </c>
      <c r="C41" s="117"/>
      <c r="D41" s="117"/>
      <c r="E41" s="118" t="s">
        <v>46</v>
      </c>
      <c r="F41" s="116" t="s">
        <v>39</v>
      </c>
    </row>
    <row r="42" spans="1:6" ht="18.75" customHeight="1" thickTop="1">
      <c r="A42" s="119"/>
      <c r="B42" s="120"/>
      <c r="C42" s="121" t="s">
        <v>67</v>
      </c>
      <c r="D42" s="122"/>
      <c r="E42" s="123"/>
      <c r="F42" s="120"/>
    </row>
    <row r="43" spans="1:6" ht="18.75" customHeight="1">
      <c r="A43" s="124">
        <v>929000</v>
      </c>
      <c r="B43" s="124">
        <v>684416</v>
      </c>
      <c r="C43" s="125"/>
      <c r="D43" s="122" t="s">
        <v>14</v>
      </c>
      <c r="E43" s="123" t="s">
        <v>100</v>
      </c>
      <c r="F43" s="124">
        <v>77048</v>
      </c>
    </row>
    <row r="44" spans="1:6" ht="18.75" customHeight="1">
      <c r="A44" s="124">
        <v>0</v>
      </c>
      <c r="B44" s="124">
        <v>0</v>
      </c>
      <c r="C44" s="125"/>
      <c r="D44" s="122" t="s">
        <v>14</v>
      </c>
      <c r="E44" s="123" t="s">
        <v>95</v>
      </c>
      <c r="F44" s="124">
        <v>0</v>
      </c>
    </row>
    <row r="45" spans="1:6" ht="18.75" customHeight="1">
      <c r="A45" s="124">
        <v>2401500</v>
      </c>
      <c r="B45" s="124">
        <v>1707869</v>
      </c>
      <c r="C45" s="125"/>
      <c r="D45" s="122" t="s">
        <v>6</v>
      </c>
      <c r="E45" s="123" t="s">
        <v>103</v>
      </c>
      <c r="F45" s="124">
        <v>203110</v>
      </c>
    </row>
    <row r="46" spans="1:6" ht="18.75" customHeight="1">
      <c r="A46" s="124">
        <v>1456320</v>
      </c>
      <c r="B46" s="124">
        <v>899062</v>
      </c>
      <c r="C46" s="125"/>
      <c r="D46" s="122" t="s">
        <v>7</v>
      </c>
      <c r="E46" s="123" t="s">
        <v>96</v>
      </c>
      <c r="F46" s="124">
        <v>113460</v>
      </c>
    </row>
    <row r="47" spans="1:6" ht="18.75" customHeight="1">
      <c r="A47" s="124">
        <v>806880</v>
      </c>
      <c r="B47" s="124">
        <v>586794</v>
      </c>
      <c r="C47" s="125"/>
      <c r="D47" s="122" t="s">
        <v>7</v>
      </c>
      <c r="E47" s="123" t="s">
        <v>97</v>
      </c>
      <c r="F47" s="124">
        <v>65600</v>
      </c>
    </row>
    <row r="48" spans="1:6" ht="18.75" customHeight="1">
      <c r="A48" s="124">
        <v>3548440</v>
      </c>
      <c r="B48" s="124">
        <v>1757494.5</v>
      </c>
      <c r="C48" s="125"/>
      <c r="D48" s="122" t="s">
        <v>8</v>
      </c>
      <c r="E48" s="123" t="s">
        <v>104</v>
      </c>
      <c r="F48" s="124">
        <v>208213</v>
      </c>
    </row>
    <row r="49" spans="1:6" ht="18.75" customHeight="1">
      <c r="A49" s="124">
        <v>1376500</v>
      </c>
      <c r="B49" s="124">
        <v>699295.89</v>
      </c>
      <c r="C49" s="125"/>
      <c r="D49" s="122" t="s">
        <v>9</v>
      </c>
      <c r="E49" s="123" t="s">
        <v>105</v>
      </c>
      <c r="F49" s="124">
        <v>41611.2</v>
      </c>
    </row>
    <row r="50" spans="1:6" ht="18.75" customHeight="1">
      <c r="A50" s="124">
        <v>2011450</v>
      </c>
      <c r="B50" s="124">
        <v>710308.55</v>
      </c>
      <c r="C50" s="125"/>
      <c r="D50" s="122" t="s">
        <v>9</v>
      </c>
      <c r="E50" s="123" t="s">
        <v>189</v>
      </c>
      <c r="F50" s="124">
        <v>53648.16</v>
      </c>
    </row>
    <row r="51" spans="1:6" ht="18.75" customHeight="1">
      <c r="A51" s="124">
        <v>0</v>
      </c>
      <c r="B51" s="124">
        <v>0</v>
      </c>
      <c r="C51" s="125"/>
      <c r="D51" s="122" t="s">
        <v>10</v>
      </c>
      <c r="E51" s="123" t="s">
        <v>98</v>
      </c>
      <c r="F51" s="124">
        <v>0</v>
      </c>
    </row>
    <row r="52" spans="1:6" ht="18.75" customHeight="1">
      <c r="A52" s="124">
        <v>2621136</v>
      </c>
      <c r="B52" s="124">
        <v>1232205.64</v>
      </c>
      <c r="C52" s="125"/>
      <c r="D52" s="122" t="s">
        <v>10</v>
      </c>
      <c r="E52" s="123" t="s">
        <v>99</v>
      </c>
      <c r="F52" s="124">
        <v>62186</v>
      </c>
    </row>
    <row r="53" spans="1:6" ht="18.75" customHeight="1">
      <c r="A53" s="124">
        <v>370000</v>
      </c>
      <c r="B53" s="124">
        <v>208658.1</v>
      </c>
      <c r="C53" s="125"/>
      <c r="D53" s="122" t="s">
        <v>11</v>
      </c>
      <c r="E53" s="123" t="s">
        <v>106</v>
      </c>
      <c r="F53" s="124">
        <v>26900.93</v>
      </c>
    </row>
    <row r="54" spans="1:6" ht="18.75" customHeight="1">
      <c r="A54" s="124">
        <v>0</v>
      </c>
      <c r="B54" s="124">
        <f>F54</f>
        <v>0</v>
      </c>
      <c r="C54" s="125"/>
      <c r="D54" s="122" t="s">
        <v>11</v>
      </c>
      <c r="E54" s="123" t="s">
        <v>190</v>
      </c>
      <c r="F54" s="124">
        <v>0</v>
      </c>
    </row>
    <row r="55" spans="1:6" ht="18.75" customHeight="1">
      <c r="A55" s="124">
        <v>251000</v>
      </c>
      <c r="B55" s="124">
        <v>261000</v>
      </c>
      <c r="C55" s="125"/>
      <c r="D55" s="122" t="s">
        <v>16</v>
      </c>
      <c r="E55" s="123" t="s">
        <v>101</v>
      </c>
      <c r="F55" s="124">
        <v>0</v>
      </c>
    </row>
    <row r="56" spans="1:6" ht="18.75" customHeight="1">
      <c r="A56" s="124">
        <v>1524000</v>
      </c>
      <c r="B56" s="124">
        <v>752400</v>
      </c>
      <c r="C56" s="125"/>
      <c r="D56" s="122" t="s">
        <v>16</v>
      </c>
      <c r="E56" s="123" t="s">
        <v>102</v>
      </c>
      <c r="F56" s="124">
        <v>686400</v>
      </c>
    </row>
    <row r="57" spans="1:6" ht="18.75" customHeight="1">
      <c r="A57" s="124">
        <v>0</v>
      </c>
      <c r="B57" s="124">
        <f>F57</f>
        <v>0</v>
      </c>
      <c r="C57" s="125"/>
      <c r="D57" s="122" t="s">
        <v>12</v>
      </c>
      <c r="E57" s="123" t="s">
        <v>107</v>
      </c>
      <c r="F57" s="124">
        <v>0</v>
      </c>
    </row>
    <row r="58" spans="1:6" ht="18.75" customHeight="1">
      <c r="A58" s="124">
        <v>169000</v>
      </c>
      <c r="B58" s="124">
        <v>0</v>
      </c>
      <c r="C58" s="125"/>
      <c r="D58" s="122" t="s">
        <v>12</v>
      </c>
      <c r="E58" s="123" t="s">
        <v>121</v>
      </c>
      <c r="F58" s="124">
        <v>0</v>
      </c>
    </row>
    <row r="59" spans="1:6" ht="18.75" customHeight="1">
      <c r="A59" s="124">
        <v>0</v>
      </c>
      <c r="B59" s="124">
        <f>F59</f>
        <v>0</v>
      </c>
      <c r="C59" s="125"/>
      <c r="D59" s="122" t="s">
        <v>13</v>
      </c>
      <c r="E59" s="123" t="s">
        <v>108</v>
      </c>
      <c r="F59" s="124">
        <v>0</v>
      </c>
    </row>
    <row r="60" spans="1:6" ht="18.75" customHeight="1">
      <c r="A60" s="124">
        <v>1266774</v>
      </c>
      <c r="B60" s="124">
        <f>F60</f>
        <v>0</v>
      </c>
      <c r="C60" s="125"/>
      <c r="D60" s="122" t="s">
        <v>13</v>
      </c>
      <c r="E60" s="123" t="s">
        <v>191</v>
      </c>
      <c r="F60" s="124">
        <v>0</v>
      </c>
    </row>
    <row r="61" spans="1:6" ht="18.75" customHeight="1">
      <c r="A61" s="124">
        <v>0</v>
      </c>
      <c r="B61" s="124">
        <f>F61</f>
        <v>0</v>
      </c>
      <c r="C61" s="125"/>
      <c r="D61" s="122" t="s">
        <v>15</v>
      </c>
      <c r="E61" s="123" t="s">
        <v>115</v>
      </c>
      <c r="F61" s="124">
        <v>0</v>
      </c>
    </row>
    <row r="62" spans="1:6" ht="18.75" customHeight="1">
      <c r="A62" s="124">
        <v>3768000</v>
      </c>
      <c r="B62" s="124">
        <v>2525500</v>
      </c>
      <c r="C62" s="125"/>
      <c r="D62" s="122" t="s">
        <v>15</v>
      </c>
      <c r="E62" s="123" t="s">
        <v>192</v>
      </c>
      <c r="F62" s="124">
        <v>1261000</v>
      </c>
    </row>
    <row r="63" spans="1:6" ht="18.75" customHeight="1" thickBot="1">
      <c r="A63" s="126">
        <f>SUM(A43:A62)</f>
        <v>22500000</v>
      </c>
      <c r="B63" s="126">
        <f>SUM(B43:B62)</f>
        <v>12025003.68</v>
      </c>
      <c r="C63" s="125"/>
      <c r="D63" s="122"/>
      <c r="E63" s="123"/>
      <c r="F63" s="127">
        <f>SUM(F43:F62)</f>
        <v>2799177.29</v>
      </c>
    </row>
    <row r="64" spans="1:8" ht="18.75" customHeight="1" thickTop="1">
      <c r="A64" s="128"/>
      <c r="B64" s="129">
        <v>870000</v>
      </c>
      <c r="C64" s="125"/>
      <c r="D64" s="122" t="s">
        <v>138</v>
      </c>
      <c r="E64" s="123" t="s">
        <v>88</v>
      </c>
      <c r="F64" s="124">
        <v>0</v>
      </c>
      <c r="H64" s="57"/>
    </row>
    <row r="65" spans="1:6" ht="18.75" customHeight="1">
      <c r="A65" s="128"/>
      <c r="B65" s="129">
        <v>68780</v>
      </c>
      <c r="C65" s="125"/>
      <c r="D65" s="122" t="s">
        <v>193</v>
      </c>
      <c r="E65" s="123" t="s">
        <v>88</v>
      </c>
      <c r="F65" s="124">
        <v>0</v>
      </c>
    </row>
    <row r="66" spans="1:6" ht="18.75" customHeight="1">
      <c r="A66" s="128"/>
      <c r="B66" s="129">
        <v>1365374</v>
      </c>
      <c r="C66" s="125"/>
      <c r="D66" s="122" t="s">
        <v>19</v>
      </c>
      <c r="E66" s="123" t="s">
        <v>23</v>
      </c>
      <c r="F66" s="124">
        <v>0</v>
      </c>
    </row>
    <row r="67" spans="1:6" ht="18.75" customHeight="1">
      <c r="A67" s="122"/>
      <c r="B67" s="129">
        <v>699482.2</v>
      </c>
      <c r="C67" s="125"/>
      <c r="D67" s="122" t="s">
        <v>139</v>
      </c>
      <c r="E67" s="123" t="s">
        <v>36</v>
      </c>
      <c r="F67" s="124">
        <v>0</v>
      </c>
    </row>
    <row r="68" spans="1:6" ht="18.75" customHeight="1">
      <c r="A68" s="122"/>
      <c r="B68" s="129">
        <v>961700</v>
      </c>
      <c r="C68" s="125"/>
      <c r="D68" s="122" t="s">
        <v>17</v>
      </c>
      <c r="E68" s="123" t="s">
        <v>92</v>
      </c>
      <c r="F68" s="124">
        <v>0</v>
      </c>
    </row>
    <row r="69" spans="1:6" ht="18.75" customHeight="1">
      <c r="A69" s="122"/>
      <c r="B69" s="129">
        <v>290976.96</v>
      </c>
      <c r="C69" s="125"/>
      <c r="D69" s="122" t="s">
        <v>140</v>
      </c>
      <c r="E69" s="123" t="s">
        <v>37</v>
      </c>
      <c r="F69" s="124">
        <v>23158.52</v>
      </c>
    </row>
    <row r="70" spans="1:6" ht="18.75" customHeight="1">
      <c r="A70" s="122"/>
      <c r="B70" s="129">
        <f>F70</f>
        <v>0</v>
      </c>
      <c r="C70" s="125"/>
      <c r="D70" s="122"/>
      <c r="E70" s="130"/>
      <c r="F70" s="124"/>
    </row>
    <row r="71" spans="1:6" ht="18.75" customHeight="1">
      <c r="A71" s="122"/>
      <c r="B71" s="131">
        <f>SUM(B64:B70)</f>
        <v>4256313.16</v>
      </c>
      <c r="C71" s="125"/>
      <c r="D71" s="122"/>
      <c r="E71" s="132"/>
      <c r="F71" s="131">
        <f>SUM(F64:F70)</f>
        <v>23158.52</v>
      </c>
    </row>
    <row r="72" spans="1:6" ht="18.75" customHeight="1">
      <c r="A72" s="122"/>
      <c r="B72" s="131">
        <f>B63+B71</f>
        <v>16281316.84</v>
      </c>
      <c r="C72" s="125"/>
      <c r="D72" s="133" t="s">
        <v>72</v>
      </c>
      <c r="E72" s="132"/>
      <c r="F72" s="131">
        <f>F63+F71</f>
        <v>2822335.81</v>
      </c>
    </row>
    <row r="73" spans="1:6" ht="18.75" customHeight="1">
      <c r="A73" s="122"/>
      <c r="B73" s="134">
        <f>IF(B28&gt;B72,(B28-B72)," ")</f>
        <v>4476920.23</v>
      </c>
      <c r="C73" s="125"/>
      <c r="D73" s="133" t="s">
        <v>73</v>
      </c>
      <c r="E73" s="132"/>
      <c r="F73" s="134">
        <f>IF(F28&gt;F72,(F28-F72)," ")</f>
        <v>1440938.4</v>
      </c>
    </row>
    <row r="74" spans="1:6" ht="18.75" customHeight="1">
      <c r="A74" s="122"/>
      <c r="B74" s="124"/>
      <c r="C74" s="125"/>
      <c r="D74" s="133" t="s">
        <v>74</v>
      </c>
      <c r="E74" s="132"/>
      <c r="F74" s="124"/>
    </row>
    <row r="75" spans="1:6" ht="18.75" customHeight="1">
      <c r="A75" s="122"/>
      <c r="B75" s="135" t="str">
        <f>IF(B28&lt;B72,(B72-B28)," ")</f>
        <v> </v>
      </c>
      <c r="C75" s="125"/>
      <c r="D75" s="133" t="s">
        <v>75</v>
      </c>
      <c r="E75" s="132"/>
      <c r="F75" s="135" t="str">
        <f>IF(F28&lt;F72,(F72-F28)," ")</f>
        <v> </v>
      </c>
    </row>
    <row r="76" spans="1:8" ht="18.75" customHeight="1" thickBot="1">
      <c r="A76" s="122"/>
      <c r="B76" s="136">
        <f>IF(B73=" ",(B9-B75),(B9+B73))</f>
        <v>13810469.82</v>
      </c>
      <c r="C76" s="125"/>
      <c r="D76" s="137" t="s">
        <v>76</v>
      </c>
      <c r="E76" s="132"/>
      <c r="F76" s="136">
        <f>IF(F73=" ",(F9-F75),(F9+F73))</f>
        <v>13810469.82</v>
      </c>
      <c r="H76" s="57">
        <f>12017343.9</f>
        <v>12017343.9</v>
      </c>
    </row>
    <row r="77" spans="2:8" ht="18.75" customHeight="1" thickTop="1">
      <c r="B77" s="59"/>
      <c r="C77" s="56"/>
      <c r="D77" s="48"/>
      <c r="E77" s="60"/>
      <c r="F77" s="59"/>
      <c r="H77" s="57"/>
    </row>
    <row r="78" ht="22.5" customHeight="1">
      <c r="H78" s="57">
        <f>F76-H76</f>
        <v>1793125.92</v>
      </c>
    </row>
    <row r="79" spans="1:8" ht="20.25" customHeight="1">
      <c r="A79" s="235" t="s">
        <v>226</v>
      </c>
      <c r="B79" s="235"/>
      <c r="C79" s="235"/>
      <c r="D79" s="235"/>
      <c r="E79" s="235"/>
      <c r="F79" s="235"/>
      <c r="G79" s="235"/>
      <c r="H79" s="235"/>
    </row>
    <row r="80" spans="1:8" ht="20.25" customHeight="1">
      <c r="A80" s="235" t="s">
        <v>227</v>
      </c>
      <c r="B80" s="235"/>
      <c r="C80" s="235"/>
      <c r="D80" s="235"/>
      <c r="E80" s="235"/>
      <c r="F80" s="235"/>
      <c r="G80" s="235"/>
      <c r="H80" s="235"/>
    </row>
    <row r="81" spans="1:8" ht="20.25" customHeight="1">
      <c r="A81" s="228" t="s">
        <v>228</v>
      </c>
      <c r="B81" s="228"/>
      <c r="C81" s="228"/>
      <c r="D81" s="228"/>
      <c r="E81" s="228"/>
      <c r="F81" s="228"/>
      <c r="G81" s="228"/>
      <c r="H81" s="228"/>
    </row>
    <row r="82" spans="1:8" ht="26.25">
      <c r="A82" s="236" t="s">
        <v>0</v>
      </c>
      <c r="B82" s="236"/>
      <c r="C82" s="236"/>
      <c r="D82" s="236"/>
      <c r="E82" s="236"/>
      <c r="F82" s="236"/>
      <c r="G82" s="44"/>
      <c r="H82" s="44"/>
    </row>
    <row r="83" spans="1:8" ht="26.25">
      <c r="A83" s="236" t="s">
        <v>40</v>
      </c>
      <c r="B83" s="236"/>
      <c r="C83" s="236"/>
      <c r="D83" s="236"/>
      <c r="E83" s="236"/>
      <c r="F83" s="236"/>
      <c r="G83" s="44"/>
      <c r="H83" s="44"/>
    </row>
    <row r="84" spans="1:6" ht="23.25">
      <c r="A84" s="46"/>
      <c r="B84" s="46"/>
      <c r="C84" s="46"/>
      <c r="D84" s="46"/>
      <c r="E84" s="46" t="s">
        <v>143</v>
      </c>
      <c r="F84" s="46"/>
    </row>
    <row r="85" spans="1:8" ht="23.25">
      <c r="A85" s="237" t="s">
        <v>41</v>
      </c>
      <c r="B85" s="237"/>
      <c r="C85" s="237"/>
      <c r="D85" s="237"/>
      <c r="E85" s="237"/>
      <c r="F85" s="237"/>
      <c r="G85" s="48"/>
      <c r="H85" s="48"/>
    </row>
    <row r="86" spans="1:6" ht="24" thickBot="1">
      <c r="A86" s="46"/>
      <c r="B86" s="46"/>
      <c r="C86" s="46"/>
      <c r="D86" s="238" t="s">
        <v>224</v>
      </c>
      <c r="E86" s="238"/>
      <c r="F86" s="238"/>
    </row>
    <row r="87" spans="1:6" ht="24" thickTop="1">
      <c r="A87" s="231" t="s">
        <v>42</v>
      </c>
      <c r="B87" s="232"/>
      <c r="C87" s="66"/>
      <c r="D87" s="66"/>
      <c r="E87" s="67"/>
      <c r="F87" s="68" t="s">
        <v>47</v>
      </c>
    </row>
    <row r="88" spans="1:6" ht="23.25">
      <c r="A88" s="69" t="s">
        <v>43</v>
      </c>
      <c r="B88" s="70" t="s">
        <v>44</v>
      </c>
      <c r="C88" s="71"/>
      <c r="D88" s="71" t="s">
        <v>1</v>
      </c>
      <c r="E88" s="72" t="s">
        <v>45</v>
      </c>
      <c r="F88" s="73" t="s">
        <v>44</v>
      </c>
    </row>
    <row r="89" spans="1:6" ht="24" thickBot="1">
      <c r="A89" s="69" t="s">
        <v>39</v>
      </c>
      <c r="B89" s="74" t="s">
        <v>39</v>
      </c>
      <c r="C89" s="65"/>
      <c r="D89" s="65"/>
      <c r="E89" s="75" t="s">
        <v>46</v>
      </c>
      <c r="F89" s="74" t="s">
        <v>39</v>
      </c>
    </row>
    <row r="90" spans="1:6" ht="24" thickTop="1">
      <c r="A90" s="58"/>
      <c r="B90" s="76">
        <v>9333549.59</v>
      </c>
      <c r="D90" s="47" t="s">
        <v>48</v>
      </c>
      <c r="E90" s="50"/>
      <c r="F90" s="77">
        <v>13810469.82</v>
      </c>
    </row>
    <row r="91" spans="1:6" ht="23.25">
      <c r="A91" s="51"/>
      <c r="B91" s="51"/>
      <c r="C91" s="64" t="s">
        <v>86</v>
      </c>
      <c r="E91" s="50"/>
      <c r="F91" s="51"/>
    </row>
    <row r="92" spans="1:6" ht="22.5">
      <c r="A92" s="51">
        <v>212000</v>
      </c>
      <c r="B92" s="51">
        <f>B11+F92</f>
        <v>242517.22</v>
      </c>
      <c r="D92" s="45" t="s">
        <v>49</v>
      </c>
      <c r="E92" s="49" t="s">
        <v>57</v>
      </c>
      <c r="F92" s="51">
        <v>672.84</v>
      </c>
    </row>
    <row r="93" spans="1:6" ht="22.5">
      <c r="A93" s="51">
        <v>220800</v>
      </c>
      <c r="B93" s="51">
        <f aca="true" t="shared" si="0" ref="B93:B99">B12+F93</f>
        <v>251069</v>
      </c>
      <c r="D93" s="45" t="s">
        <v>50</v>
      </c>
      <c r="E93" s="49" t="s">
        <v>58</v>
      </c>
      <c r="F93" s="51">
        <v>23120</v>
      </c>
    </row>
    <row r="94" spans="1:6" ht="22.5">
      <c r="A94" s="51">
        <v>136000</v>
      </c>
      <c r="B94" s="51">
        <f t="shared" si="0"/>
        <v>62487.25</v>
      </c>
      <c r="D94" s="45" t="s">
        <v>51</v>
      </c>
      <c r="E94" s="49" t="s">
        <v>59</v>
      </c>
      <c r="F94" s="51">
        <v>2767.39</v>
      </c>
    </row>
    <row r="95" spans="1:6" ht="22.5">
      <c r="A95" s="51">
        <v>260000</v>
      </c>
      <c r="B95" s="51">
        <f t="shared" si="0"/>
        <v>154557</v>
      </c>
      <c r="D95" s="45" t="s">
        <v>52</v>
      </c>
      <c r="E95" s="49" t="s">
        <v>60</v>
      </c>
      <c r="F95" s="51">
        <v>23135</v>
      </c>
    </row>
    <row r="96" spans="1:6" ht="22.5">
      <c r="A96" s="51">
        <v>421200</v>
      </c>
      <c r="B96" s="51">
        <f t="shared" si="0"/>
        <v>309105</v>
      </c>
      <c r="D96" s="45" t="s">
        <v>53</v>
      </c>
      <c r="E96" s="49" t="s">
        <v>61</v>
      </c>
      <c r="F96" s="51">
        <v>99950</v>
      </c>
    </row>
    <row r="97" spans="1:6" ht="22.5">
      <c r="A97" s="51">
        <v>0</v>
      </c>
      <c r="B97" s="51">
        <f t="shared" si="0"/>
        <v>0</v>
      </c>
      <c r="D97" s="45" t="s">
        <v>54</v>
      </c>
      <c r="E97" s="49" t="s">
        <v>62</v>
      </c>
      <c r="F97" s="51"/>
    </row>
    <row r="98" spans="1:6" ht="22.5">
      <c r="A98" s="51">
        <v>9050000</v>
      </c>
      <c r="B98" s="51">
        <f t="shared" si="0"/>
        <v>8100895.609999999</v>
      </c>
      <c r="D98" s="45" t="s">
        <v>55</v>
      </c>
      <c r="E98" s="49" t="s">
        <v>63</v>
      </c>
      <c r="F98" s="51">
        <v>443265.89</v>
      </c>
    </row>
    <row r="99" spans="1:6" ht="22.5">
      <c r="A99" s="52">
        <v>12200000</v>
      </c>
      <c r="B99" s="51">
        <f t="shared" si="0"/>
        <v>11240649.39</v>
      </c>
      <c r="D99" s="45" t="s">
        <v>187</v>
      </c>
      <c r="E99" s="49" t="s">
        <v>64</v>
      </c>
      <c r="F99" s="52">
        <v>646219</v>
      </c>
    </row>
    <row r="100" spans="1:6" ht="24" thickBot="1">
      <c r="A100" s="104">
        <f>SUM(A92:A99)</f>
        <v>22500000</v>
      </c>
      <c r="B100" s="78">
        <f>SUM(B92:B99)</f>
        <v>20361280.47</v>
      </c>
      <c r="E100" s="49"/>
      <c r="F100" s="78">
        <f>SUM(F92:F99)</f>
        <v>1239130.12</v>
      </c>
    </row>
    <row r="101" spans="1:6" ht="23.25" thickTop="1">
      <c r="A101" s="53"/>
      <c r="B101" s="51">
        <f>B20+F101</f>
        <v>1654138.7</v>
      </c>
      <c r="D101" s="45" t="s">
        <v>56</v>
      </c>
      <c r="E101" s="49" t="s">
        <v>65</v>
      </c>
      <c r="F101" s="51">
        <v>405330</v>
      </c>
    </row>
    <row r="102" spans="1:6" ht="22.5">
      <c r="A102" s="53"/>
      <c r="B102" s="51">
        <f>B21+F102</f>
        <v>491533.37</v>
      </c>
      <c r="D102" s="45" t="s">
        <v>140</v>
      </c>
      <c r="E102" s="49" t="s">
        <v>36</v>
      </c>
      <c r="F102" s="51">
        <v>104435.35</v>
      </c>
    </row>
    <row r="103" spans="1:6" ht="22.5">
      <c r="A103" s="53"/>
      <c r="B103" s="51">
        <f>B22+F103</f>
        <v>0</v>
      </c>
      <c r="D103" s="45" t="s">
        <v>19</v>
      </c>
      <c r="E103" s="49" t="s">
        <v>37</v>
      </c>
      <c r="F103" s="51">
        <v>0</v>
      </c>
    </row>
    <row r="104" spans="1:6" ht="22.5">
      <c r="A104" s="53"/>
      <c r="B104" s="51">
        <f>B23+F104</f>
        <v>180</v>
      </c>
      <c r="D104" s="103" t="s">
        <v>188</v>
      </c>
      <c r="E104" s="49" t="s">
        <v>104</v>
      </c>
      <c r="F104" s="51">
        <v>0</v>
      </c>
    </row>
    <row r="105" spans="1:6" ht="22.5">
      <c r="A105" s="53"/>
      <c r="B105" s="51"/>
      <c r="E105" s="50"/>
      <c r="F105" s="51"/>
    </row>
    <row r="106" spans="1:6" ht="22.5">
      <c r="A106" s="53"/>
      <c r="B106" s="51"/>
      <c r="E106" s="49"/>
      <c r="F106" s="51"/>
    </row>
    <row r="107" spans="1:6" ht="22.5">
      <c r="A107" s="53"/>
      <c r="B107" s="51"/>
      <c r="E107" s="49"/>
      <c r="F107" s="51"/>
    </row>
    <row r="108" spans="1:6" ht="22.5">
      <c r="A108" s="53"/>
      <c r="B108" s="54">
        <f>SUM(B101:B107)</f>
        <v>2145852.07</v>
      </c>
      <c r="E108" s="49"/>
      <c r="F108" s="54">
        <f>SUM(F101:F107)</f>
        <v>509765.35</v>
      </c>
    </row>
    <row r="109" spans="2:6" ht="26.25" customHeight="1">
      <c r="B109" s="61">
        <f>B100+B108</f>
        <v>22507132.54</v>
      </c>
      <c r="C109" s="46"/>
      <c r="D109" s="47" t="s">
        <v>66</v>
      </c>
      <c r="E109" s="62"/>
      <c r="F109" s="63">
        <f>F100+F108</f>
        <v>1748895.4700000002</v>
      </c>
    </row>
    <row r="118" ht="16.5" customHeight="1"/>
    <row r="119" ht="18.75" customHeight="1" thickBot="1">
      <c r="F119" s="106" t="s">
        <v>225</v>
      </c>
    </row>
    <row r="120" spans="1:6" ht="18.75" customHeight="1" thickTop="1">
      <c r="A120" s="233" t="s">
        <v>42</v>
      </c>
      <c r="B120" s="234"/>
      <c r="C120" s="107"/>
      <c r="D120" s="108"/>
      <c r="E120" s="109"/>
      <c r="F120" s="110" t="s">
        <v>47</v>
      </c>
    </row>
    <row r="121" spans="1:6" ht="18.75" customHeight="1">
      <c r="A121" s="111" t="s">
        <v>43</v>
      </c>
      <c r="B121" s="112" t="s">
        <v>44</v>
      </c>
      <c r="C121" s="113"/>
      <c r="D121" s="113" t="s">
        <v>1</v>
      </c>
      <c r="E121" s="114" t="s">
        <v>45</v>
      </c>
      <c r="F121" s="115" t="s">
        <v>44</v>
      </c>
    </row>
    <row r="122" spans="1:6" ht="18.75" customHeight="1" thickBot="1">
      <c r="A122" s="111" t="s">
        <v>39</v>
      </c>
      <c r="B122" s="116" t="s">
        <v>39</v>
      </c>
      <c r="C122" s="117"/>
      <c r="D122" s="117"/>
      <c r="E122" s="118" t="s">
        <v>46</v>
      </c>
      <c r="F122" s="116" t="s">
        <v>39</v>
      </c>
    </row>
    <row r="123" spans="1:6" ht="18.75" customHeight="1" thickTop="1">
      <c r="A123" s="119"/>
      <c r="B123" s="120"/>
      <c r="C123" s="121" t="s">
        <v>67</v>
      </c>
      <c r="D123" s="122"/>
      <c r="E123" s="123"/>
      <c r="F123" s="120"/>
    </row>
    <row r="124" spans="1:6" ht="18.75" customHeight="1">
      <c r="A124" s="124">
        <v>929000</v>
      </c>
      <c r="B124" s="124">
        <f>B43+F124</f>
        <v>764324</v>
      </c>
      <c r="C124" s="125"/>
      <c r="D124" s="122" t="s">
        <v>14</v>
      </c>
      <c r="E124" s="123" t="s">
        <v>100</v>
      </c>
      <c r="F124" s="124">
        <v>79908</v>
      </c>
    </row>
    <row r="125" spans="1:6" ht="18.75" customHeight="1">
      <c r="A125" s="124">
        <v>0</v>
      </c>
      <c r="B125" s="124">
        <f aca="true" t="shared" si="1" ref="B125:B143">B44+F125</f>
        <v>0</v>
      </c>
      <c r="C125" s="125"/>
      <c r="D125" s="122" t="s">
        <v>14</v>
      </c>
      <c r="E125" s="123" t="s">
        <v>95</v>
      </c>
      <c r="F125" s="124">
        <v>0</v>
      </c>
    </row>
    <row r="126" spans="1:6" ht="18.75" customHeight="1">
      <c r="A126" s="124">
        <v>2401500</v>
      </c>
      <c r="B126" s="124">
        <f t="shared" si="1"/>
        <v>1907881</v>
      </c>
      <c r="C126" s="125"/>
      <c r="D126" s="122" t="s">
        <v>6</v>
      </c>
      <c r="E126" s="123" t="s">
        <v>103</v>
      </c>
      <c r="F126" s="124">
        <v>200012</v>
      </c>
    </row>
    <row r="127" spans="1:6" ht="18.75" customHeight="1">
      <c r="A127" s="124">
        <v>1456320</v>
      </c>
      <c r="B127" s="124">
        <f t="shared" si="1"/>
        <v>1012522</v>
      </c>
      <c r="C127" s="125"/>
      <c r="D127" s="122" t="s">
        <v>7</v>
      </c>
      <c r="E127" s="123" t="s">
        <v>96</v>
      </c>
      <c r="F127" s="124">
        <v>113460</v>
      </c>
    </row>
    <row r="128" spans="1:6" ht="18.75" customHeight="1">
      <c r="A128" s="124">
        <v>806880</v>
      </c>
      <c r="B128" s="124">
        <f t="shared" si="1"/>
        <v>652394</v>
      </c>
      <c r="C128" s="125"/>
      <c r="D128" s="122" t="s">
        <v>7</v>
      </c>
      <c r="E128" s="123" t="s">
        <v>97</v>
      </c>
      <c r="F128" s="124">
        <v>65600</v>
      </c>
    </row>
    <row r="129" spans="1:6" ht="18.75" customHeight="1">
      <c r="A129" s="124">
        <v>3548440</v>
      </c>
      <c r="B129" s="124">
        <f t="shared" si="1"/>
        <v>1971590.5</v>
      </c>
      <c r="C129" s="125"/>
      <c r="D129" s="122" t="s">
        <v>8</v>
      </c>
      <c r="E129" s="123" t="s">
        <v>104</v>
      </c>
      <c r="F129" s="124">
        <v>214096</v>
      </c>
    </row>
    <row r="130" spans="1:6" ht="18.75" customHeight="1">
      <c r="A130" s="124">
        <v>1376500</v>
      </c>
      <c r="B130" s="124">
        <f t="shared" si="1"/>
        <v>862959.89</v>
      </c>
      <c r="C130" s="125"/>
      <c r="D130" s="122" t="s">
        <v>9</v>
      </c>
      <c r="E130" s="123" t="s">
        <v>105</v>
      </c>
      <c r="F130" s="124">
        <v>163664</v>
      </c>
    </row>
    <row r="131" spans="1:6" ht="18.75" customHeight="1">
      <c r="A131" s="124">
        <v>2011450</v>
      </c>
      <c r="B131" s="124">
        <f t="shared" si="1"/>
        <v>893289.55</v>
      </c>
      <c r="C131" s="125"/>
      <c r="D131" s="122" t="s">
        <v>9</v>
      </c>
      <c r="E131" s="123" t="s">
        <v>189</v>
      </c>
      <c r="F131" s="124">
        <v>182981</v>
      </c>
    </row>
    <row r="132" spans="1:6" ht="18.75" customHeight="1">
      <c r="A132" s="124">
        <v>0</v>
      </c>
      <c r="B132" s="124">
        <f t="shared" si="1"/>
        <v>0</v>
      </c>
      <c r="C132" s="125"/>
      <c r="D132" s="122" t="s">
        <v>10</v>
      </c>
      <c r="E132" s="123" t="s">
        <v>98</v>
      </c>
      <c r="F132" s="124">
        <v>0</v>
      </c>
    </row>
    <row r="133" spans="1:6" ht="18.75" customHeight="1">
      <c r="A133" s="124">
        <v>2621136</v>
      </c>
      <c r="B133" s="124">
        <f t="shared" si="1"/>
        <v>1393984.64</v>
      </c>
      <c r="C133" s="125"/>
      <c r="D133" s="122" t="s">
        <v>10</v>
      </c>
      <c r="E133" s="123" t="s">
        <v>99</v>
      </c>
      <c r="F133" s="124">
        <v>161779</v>
      </c>
    </row>
    <row r="134" spans="1:6" ht="18.75" customHeight="1">
      <c r="A134" s="124">
        <v>370000</v>
      </c>
      <c r="B134" s="124">
        <f t="shared" si="1"/>
        <v>264529.07</v>
      </c>
      <c r="C134" s="125"/>
      <c r="D134" s="122" t="s">
        <v>11</v>
      </c>
      <c r="E134" s="123" t="s">
        <v>106</v>
      </c>
      <c r="F134" s="124">
        <v>55870.97</v>
      </c>
    </row>
    <row r="135" spans="1:6" ht="18.75" customHeight="1">
      <c r="A135" s="124">
        <v>0</v>
      </c>
      <c r="B135" s="124">
        <f t="shared" si="1"/>
        <v>0</v>
      </c>
      <c r="C135" s="125"/>
      <c r="D135" s="122" t="s">
        <v>11</v>
      </c>
      <c r="E135" s="123" t="s">
        <v>190</v>
      </c>
      <c r="F135" s="124">
        <v>0</v>
      </c>
    </row>
    <row r="136" spans="1:6" ht="18.75" customHeight="1">
      <c r="A136" s="124">
        <v>251000</v>
      </c>
      <c r="B136" s="124">
        <f t="shared" si="1"/>
        <v>263000</v>
      </c>
      <c r="C136" s="125"/>
      <c r="D136" s="122" t="s">
        <v>16</v>
      </c>
      <c r="E136" s="123" t="s">
        <v>101</v>
      </c>
      <c r="F136" s="124">
        <v>2000</v>
      </c>
    </row>
    <row r="137" spans="1:6" ht="18.75" customHeight="1">
      <c r="A137" s="124">
        <v>1524000</v>
      </c>
      <c r="B137" s="124">
        <f t="shared" si="1"/>
        <v>1052682</v>
      </c>
      <c r="C137" s="125"/>
      <c r="D137" s="122" t="s">
        <v>16</v>
      </c>
      <c r="E137" s="123" t="s">
        <v>102</v>
      </c>
      <c r="F137" s="124">
        <v>300282</v>
      </c>
    </row>
    <row r="138" spans="1:6" ht="18.75" customHeight="1">
      <c r="A138" s="124">
        <v>0</v>
      </c>
      <c r="B138" s="124">
        <f t="shared" si="1"/>
        <v>0</v>
      </c>
      <c r="C138" s="125"/>
      <c r="D138" s="122" t="s">
        <v>12</v>
      </c>
      <c r="E138" s="123" t="s">
        <v>107</v>
      </c>
      <c r="F138" s="124">
        <v>0</v>
      </c>
    </row>
    <row r="139" spans="1:6" ht="18.75" customHeight="1">
      <c r="A139" s="124">
        <v>169000</v>
      </c>
      <c r="B139" s="124">
        <f t="shared" si="1"/>
        <v>0</v>
      </c>
      <c r="C139" s="125"/>
      <c r="D139" s="122" t="s">
        <v>12</v>
      </c>
      <c r="E139" s="123" t="s">
        <v>121</v>
      </c>
      <c r="F139" s="124">
        <v>0</v>
      </c>
    </row>
    <row r="140" spans="1:6" ht="18.75" customHeight="1">
      <c r="A140" s="124">
        <v>0</v>
      </c>
      <c r="B140" s="124">
        <f t="shared" si="1"/>
        <v>0</v>
      </c>
      <c r="C140" s="125"/>
      <c r="D140" s="122" t="s">
        <v>13</v>
      </c>
      <c r="E140" s="123" t="s">
        <v>108</v>
      </c>
      <c r="F140" s="124">
        <v>0</v>
      </c>
    </row>
    <row r="141" spans="1:6" ht="18.75" customHeight="1">
      <c r="A141" s="124">
        <v>1266774</v>
      </c>
      <c r="B141" s="124">
        <f t="shared" si="1"/>
        <v>0</v>
      </c>
      <c r="C141" s="125"/>
      <c r="D141" s="122" t="s">
        <v>13</v>
      </c>
      <c r="E141" s="123" t="s">
        <v>191</v>
      </c>
      <c r="F141" s="124">
        <v>0</v>
      </c>
    </row>
    <row r="142" spans="1:6" ht="18.75" customHeight="1">
      <c r="A142" s="124">
        <v>0</v>
      </c>
      <c r="B142" s="124">
        <f t="shared" si="1"/>
        <v>1000</v>
      </c>
      <c r="C142" s="125"/>
      <c r="D142" s="122" t="s">
        <v>15</v>
      </c>
      <c r="E142" s="123" t="s">
        <v>115</v>
      </c>
      <c r="F142" s="124">
        <v>1000</v>
      </c>
    </row>
    <row r="143" spans="1:6" ht="18.75" customHeight="1">
      <c r="A143" s="124">
        <v>3768000</v>
      </c>
      <c r="B143" s="124">
        <f t="shared" si="1"/>
        <v>2525500</v>
      </c>
      <c r="C143" s="125"/>
      <c r="D143" s="122" t="s">
        <v>15</v>
      </c>
      <c r="E143" s="123" t="s">
        <v>192</v>
      </c>
      <c r="F143" s="124">
        <v>0</v>
      </c>
    </row>
    <row r="144" spans="1:6" ht="18.75" customHeight="1" thickBot="1">
      <c r="A144" s="126">
        <f>SUM(A124:A143)</f>
        <v>22500000</v>
      </c>
      <c r="B144" s="126">
        <f>SUM(B124:B143)</f>
        <v>13565656.65</v>
      </c>
      <c r="C144" s="125"/>
      <c r="D144" s="122"/>
      <c r="E144" s="123"/>
      <c r="F144" s="127">
        <f>SUM(F124:F143)</f>
        <v>1540652.97</v>
      </c>
    </row>
    <row r="145" spans="1:8" ht="18.75" customHeight="1" thickTop="1">
      <c r="A145" s="128"/>
      <c r="B145" s="129">
        <f>B64+F145</f>
        <v>870000</v>
      </c>
      <c r="C145" s="125"/>
      <c r="D145" s="122" t="s">
        <v>138</v>
      </c>
      <c r="E145" s="123" t="s">
        <v>88</v>
      </c>
      <c r="F145" s="124">
        <v>0</v>
      </c>
      <c r="H145" s="57"/>
    </row>
    <row r="146" spans="1:6" ht="18.75" customHeight="1">
      <c r="A146" s="128"/>
      <c r="B146" s="129">
        <f aca="true" t="shared" si="2" ref="B146:B151">B65+F146</f>
        <v>68780</v>
      </c>
      <c r="C146" s="125"/>
      <c r="D146" s="122" t="s">
        <v>193</v>
      </c>
      <c r="E146" s="123" t="s">
        <v>88</v>
      </c>
      <c r="F146" s="124">
        <v>0</v>
      </c>
    </row>
    <row r="147" spans="1:6" ht="18.75" customHeight="1">
      <c r="A147" s="128"/>
      <c r="B147" s="129">
        <f t="shared" si="2"/>
        <v>1463374</v>
      </c>
      <c r="C147" s="125"/>
      <c r="D147" s="122" t="s">
        <v>19</v>
      </c>
      <c r="E147" s="123" t="s">
        <v>23</v>
      </c>
      <c r="F147" s="124">
        <v>98000</v>
      </c>
    </row>
    <row r="148" spans="1:6" ht="18.75" customHeight="1">
      <c r="A148" s="122"/>
      <c r="B148" s="129">
        <f t="shared" si="2"/>
        <v>699482.2</v>
      </c>
      <c r="C148" s="125"/>
      <c r="D148" s="122" t="s">
        <v>139</v>
      </c>
      <c r="E148" s="123" t="s">
        <v>36</v>
      </c>
      <c r="F148" s="124">
        <v>0</v>
      </c>
    </row>
    <row r="149" spans="1:6" ht="18.75" customHeight="1">
      <c r="A149" s="122"/>
      <c r="B149" s="129">
        <f t="shared" si="2"/>
        <v>961700</v>
      </c>
      <c r="C149" s="125"/>
      <c r="D149" s="122" t="s">
        <v>17</v>
      </c>
      <c r="E149" s="123" t="s">
        <v>92</v>
      </c>
      <c r="F149" s="124">
        <v>0</v>
      </c>
    </row>
    <row r="150" spans="1:6" ht="18.75" customHeight="1">
      <c r="A150" s="122"/>
      <c r="B150" s="129">
        <f t="shared" si="2"/>
        <v>295320.62</v>
      </c>
      <c r="C150" s="125"/>
      <c r="D150" s="122" t="s">
        <v>140</v>
      </c>
      <c r="E150" s="123" t="s">
        <v>37</v>
      </c>
      <c r="F150" s="124">
        <v>4343.66</v>
      </c>
    </row>
    <row r="151" spans="1:6" ht="18.75" customHeight="1">
      <c r="A151" s="122"/>
      <c r="B151" s="129">
        <f t="shared" si="2"/>
        <v>111500</v>
      </c>
      <c r="C151" s="125"/>
      <c r="D151" s="143" t="s">
        <v>220</v>
      </c>
      <c r="E151" s="130" t="s">
        <v>64</v>
      </c>
      <c r="F151" s="124">
        <v>111500</v>
      </c>
    </row>
    <row r="152" spans="1:6" ht="18.75" customHeight="1">
      <c r="A152" s="122"/>
      <c r="B152" s="131">
        <f>SUM(B145:B151)</f>
        <v>4470156.82</v>
      </c>
      <c r="C152" s="125"/>
      <c r="D152" s="122"/>
      <c r="E152" s="132"/>
      <c r="F152" s="131">
        <f>SUM(F145:F151)</f>
        <v>213843.66</v>
      </c>
    </row>
    <row r="153" spans="1:6" ht="18.75" customHeight="1">
      <c r="A153" s="122"/>
      <c r="B153" s="131">
        <f>B144+B152</f>
        <v>18035813.47</v>
      </c>
      <c r="C153" s="125"/>
      <c r="D153" s="133" t="s">
        <v>72</v>
      </c>
      <c r="E153" s="132"/>
      <c r="F153" s="131">
        <f>F144+F152</f>
        <v>1754496.63</v>
      </c>
    </row>
    <row r="154" spans="1:6" ht="18.75" customHeight="1">
      <c r="A154" s="122"/>
      <c r="B154" s="134">
        <f>IF(B109&gt;B153,(B109-B153)," ")</f>
        <v>4471319.07</v>
      </c>
      <c r="C154" s="125"/>
      <c r="D154" s="133" t="s">
        <v>73</v>
      </c>
      <c r="E154" s="132"/>
      <c r="F154" s="134" t="str">
        <f>IF(F109&gt;F153,(F109-F153)," ")</f>
        <v> </v>
      </c>
    </row>
    <row r="155" spans="1:6" ht="18.75" customHeight="1">
      <c r="A155" s="122"/>
      <c r="B155" s="124"/>
      <c r="C155" s="125"/>
      <c r="D155" s="133" t="s">
        <v>74</v>
      </c>
      <c r="E155" s="132"/>
      <c r="F155" s="124"/>
    </row>
    <row r="156" spans="1:6" ht="18.75" customHeight="1">
      <c r="A156" s="122"/>
      <c r="B156" s="135" t="str">
        <f>IF(B109&lt;B153,(B153-B109)," ")</f>
        <v> </v>
      </c>
      <c r="C156" s="125"/>
      <c r="D156" s="133" t="s">
        <v>75</v>
      </c>
      <c r="E156" s="132"/>
      <c r="F156" s="135">
        <f>IF(F109&lt;F153,(F153-F109)," ")</f>
        <v>5601.159999999683</v>
      </c>
    </row>
    <row r="157" spans="1:8" ht="18.75" customHeight="1" thickBot="1">
      <c r="A157" s="122"/>
      <c r="B157" s="136">
        <f>IF(B154=" ",(B90-B156),(B90+B154))</f>
        <v>13804868.66</v>
      </c>
      <c r="C157" s="125"/>
      <c r="D157" s="137" t="s">
        <v>76</v>
      </c>
      <c r="E157" s="132"/>
      <c r="F157" s="136">
        <f>IF(F154=" ",(F90-F156),(F90+F154))</f>
        <v>13804868.66</v>
      </c>
      <c r="H157" s="57">
        <f>12017343.9</f>
        <v>12017343.9</v>
      </c>
    </row>
    <row r="158" spans="2:8" ht="18.75" customHeight="1" thickTop="1">
      <c r="B158" s="59"/>
      <c r="C158" s="56"/>
      <c r="D158" s="48"/>
      <c r="E158" s="60"/>
      <c r="F158" s="59"/>
      <c r="H158" s="57"/>
    </row>
    <row r="159" ht="22.5" customHeight="1">
      <c r="H159" s="57">
        <f>F157-H157</f>
        <v>1787524.7599999998</v>
      </c>
    </row>
    <row r="160" spans="1:8" ht="20.25" customHeight="1">
      <c r="A160" s="235" t="s">
        <v>226</v>
      </c>
      <c r="B160" s="235"/>
      <c r="C160" s="235"/>
      <c r="D160" s="235"/>
      <c r="E160" s="235"/>
      <c r="F160" s="235"/>
      <c r="G160" s="235"/>
      <c r="H160" s="235"/>
    </row>
    <row r="161" spans="1:8" ht="20.25" customHeight="1">
      <c r="A161" s="235" t="s">
        <v>227</v>
      </c>
      <c r="B161" s="235"/>
      <c r="C161" s="235"/>
      <c r="D161" s="235"/>
      <c r="E161" s="235"/>
      <c r="F161" s="235"/>
      <c r="G161" s="235"/>
      <c r="H161" s="235"/>
    </row>
    <row r="162" spans="1:8" ht="20.25" customHeight="1">
      <c r="A162" s="228" t="s">
        <v>228</v>
      </c>
      <c r="B162" s="228"/>
      <c r="C162" s="228"/>
      <c r="D162" s="228"/>
      <c r="E162" s="228"/>
      <c r="F162" s="228"/>
      <c r="G162" s="228"/>
      <c r="H162" s="228"/>
    </row>
    <row r="163" spans="1:8" ht="26.25">
      <c r="A163" s="236" t="s">
        <v>0</v>
      </c>
      <c r="B163" s="236"/>
      <c r="C163" s="236"/>
      <c r="D163" s="236"/>
      <c r="E163" s="236"/>
      <c r="F163" s="236"/>
      <c r="G163" s="44"/>
      <c r="H163" s="44"/>
    </row>
    <row r="164" spans="1:8" ht="26.25">
      <c r="A164" s="236" t="s">
        <v>40</v>
      </c>
      <c r="B164" s="236"/>
      <c r="C164" s="236"/>
      <c r="D164" s="236"/>
      <c r="E164" s="236"/>
      <c r="F164" s="236"/>
      <c r="G164" s="44"/>
      <c r="H164" s="44"/>
    </row>
    <row r="165" spans="1:6" ht="23.25">
      <c r="A165" s="46"/>
      <c r="B165" s="46"/>
      <c r="C165" s="46"/>
      <c r="D165" s="46"/>
      <c r="E165" s="46" t="s">
        <v>143</v>
      </c>
      <c r="F165" s="46"/>
    </row>
    <row r="166" spans="1:8" ht="23.25">
      <c r="A166" s="237" t="s">
        <v>41</v>
      </c>
      <c r="B166" s="237"/>
      <c r="C166" s="237"/>
      <c r="D166" s="237"/>
      <c r="E166" s="237"/>
      <c r="F166" s="237"/>
      <c r="G166" s="48"/>
      <c r="H166" s="48"/>
    </row>
    <row r="167" spans="1:6" ht="24" thickBot="1">
      <c r="A167" s="46"/>
      <c r="B167" s="46"/>
      <c r="C167" s="46"/>
      <c r="D167" s="238" t="s">
        <v>231</v>
      </c>
      <c r="E167" s="238"/>
      <c r="F167" s="238"/>
    </row>
    <row r="168" spans="1:6" ht="24" thickTop="1">
      <c r="A168" s="231" t="s">
        <v>42</v>
      </c>
      <c r="B168" s="232"/>
      <c r="C168" s="66"/>
      <c r="D168" s="66"/>
      <c r="E168" s="67"/>
      <c r="F168" s="68" t="s">
        <v>47</v>
      </c>
    </row>
    <row r="169" spans="1:6" ht="23.25">
      <c r="A169" s="69" t="s">
        <v>43</v>
      </c>
      <c r="B169" s="70" t="s">
        <v>44</v>
      </c>
      <c r="C169" s="71"/>
      <c r="D169" s="71" t="s">
        <v>1</v>
      </c>
      <c r="E169" s="72" t="s">
        <v>45</v>
      </c>
      <c r="F169" s="73" t="s">
        <v>44</v>
      </c>
    </row>
    <row r="170" spans="1:6" ht="24" thickBot="1">
      <c r="A170" s="69" t="s">
        <v>39</v>
      </c>
      <c r="B170" s="74" t="s">
        <v>39</v>
      </c>
      <c r="C170" s="65"/>
      <c r="D170" s="65"/>
      <c r="E170" s="75" t="s">
        <v>46</v>
      </c>
      <c r="F170" s="74" t="s">
        <v>39</v>
      </c>
    </row>
    <row r="171" spans="1:6" ht="24" thickTop="1">
      <c r="A171" s="58"/>
      <c r="B171" s="76">
        <v>9333549.59</v>
      </c>
      <c r="D171" s="47" t="s">
        <v>48</v>
      </c>
      <c r="E171" s="50"/>
      <c r="F171" s="77">
        <f>+F157</f>
        <v>13804868.66</v>
      </c>
    </row>
    <row r="172" spans="1:6" ht="23.25">
      <c r="A172" s="51"/>
      <c r="B172" s="51"/>
      <c r="C172" s="64" t="s">
        <v>86</v>
      </c>
      <c r="E172" s="50"/>
      <c r="F172" s="51"/>
    </row>
    <row r="173" spans="1:6" ht="22.5">
      <c r="A173" s="51">
        <v>212000</v>
      </c>
      <c r="B173" s="51">
        <f>B92+F173</f>
        <v>243382.3</v>
      </c>
      <c r="D173" s="45" t="s">
        <v>49</v>
      </c>
      <c r="E173" s="49" t="s">
        <v>57</v>
      </c>
      <c r="F173" s="51">
        <v>865.08</v>
      </c>
    </row>
    <row r="174" spans="1:6" ht="22.5">
      <c r="A174" s="51">
        <v>220800</v>
      </c>
      <c r="B174" s="51">
        <f aca="true" t="shared" si="3" ref="B174:B180">B93+F174</f>
        <v>290919</v>
      </c>
      <c r="D174" s="45" t="s">
        <v>50</v>
      </c>
      <c r="E174" s="49" t="s">
        <v>58</v>
      </c>
      <c r="F174" s="51">
        <v>39850</v>
      </c>
    </row>
    <row r="175" spans="1:6" ht="22.5">
      <c r="A175" s="51">
        <v>136000</v>
      </c>
      <c r="B175" s="51">
        <f t="shared" si="3"/>
        <v>62487.25</v>
      </c>
      <c r="D175" s="45" t="s">
        <v>51</v>
      </c>
      <c r="E175" s="49" t="s">
        <v>59</v>
      </c>
      <c r="F175" s="51">
        <v>0</v>
      </c>
    </row>
    <row r="176" spans="1:6" ht="22.5">
      <c r="A176" s="51">
        <v>260000</v>
      </c>
      <c r="B176" s="51">
        <f t="shared" si="3"/>
        <v>177508</v>
      </c>
      <c r="D176" s="45" t="s">
        <v>52</v>
      </c>
      <c r="E176" s="49" t="s">
        <v>60</v>
      </c>
      <c r="F176" s="51">
        <v>22951</v>
      </c>
    </row>
    <row r="177" spans="1:6" ht="22.5">
      <c r="A177" s="51">
        <v>421200</v>
      </c>
      <c r="B177" s="51">
        <f t="shared" si="3"/>
        <v>372905</v>
      </c>
      <c r="D177" s="45" t="s">
        <v>53</v>
      </c>
      <c r="E177" s="49" t="s">
        <v>61</v>
      </c>
      <c r="F177" s="51">
        <v>63800</v>
      </c>
    </row>
    <row r="178" spans="1:6" ht="22.5">
      <c r="A178" s="51">
        <v>0</v>
      </c>
      <c r="B178" s="51">
        <f t="shared" si="3"/>
        <v>0</v>
      </c>
      <c r="D178" s="45" t="s">
        <v>54</v>
      </c>
      <c r="E178" s="49" t="s">
        <v>62</v>
      </c>
      <c r="F178" s="51"/>
    </row>
    <row r="179" spans="1:6" ht="22.5">
      <c r="A179" s="51">
        <v>9050000</v>
      </c>
      <c r="B179" s="51">
        <f t="shared" si="3"/>
        <v>9372338.53</v>
      </c>
      <c r="D179" s="45" t="s">
        <v>55</v>
      </c>
      <c r="E179" s="49" t="s">
        <v>63</v>
      </c>
      <c r="F179" s="51">
        <v>1271442.92</v>
      </c>
    </row>
    <row r="180" spans="1:6" ht="22.5">
      <c r="A180" s="52">
        <v>12200000</v>
      </c>
      <c r="B180" s="51">
        <f t="shared" si="3"/>
        <v>11240649.39</v>
      </c>
      <c r="D180" s="45" t="s">
        <v>187</v>
      </c>
      <c r="E180" s="49" t="s">
        <v>64</v>
      </c>
      <c r="F180" s="52">
        <v>0</v>
      </c>
    </row>
    <row r="181" spans="1:6" ht="24" thickBot="1">
      <c r="A181" s="104">
        <f>SUM(A173:A180)</f>
        <v>22500000</v>
      </c>
      <c r="B181" s="78">
        <f>SUM(B173:B180)</f>
        <v>21760189.47</v>
      </c>
      <c r="E181" s="49"/>
      <c r="F181" s="78">
        <f>SUM(F173:F180)</f>
        <v>1398909</v>
      </c>
    </row>
    <row r="182" spans="1:6" ht="23.25" thickTop="1">
      <c r="A182" s="53"/>
      <c r="B182" s="51">
        <f>B101+F182</f>
        <v>2443784.7</v>
      </c>
      <c r="D182" s="45" t="s">
        <v>56</v>
      </c>
      <c r="E182" s="49" t="s">
        <v>65</v>
      </c>
      <c r="F182" s="51">
        <v>789646</v>
      </c>
    </row>
    <row r="183" spans="1:6" ht="22.5">
      <c r="A183" s="53"/>
      <c r="B183" s="51">
        <f>B102+F183</f>
        <v>522430.25</v>
      </c>
      <c r="D183" s="45" t="s">
        <v>140</v>
      </c>
      <c r="E183" s="49" t="s">
        <v>36</v>
      </c>
      <c r="F183" s="51">
        <v>30896.88</v>
      </c>
    </row>
    <row r="184" spans="1:6" ht="22.5">
      <c r="A184" s="53"/>
      <c r="B184" s="51">
        <f>B103+F184</f>
        <v>0</v>
      </c>
      <c r="D184" s="45" t="s">
        <v>19</v>
      </c>
      <c r="E184" s="49" t="s">
        <v>37</v>
      </c>
      <c r="F184" s="51">
        <v>0</v>
      </c>
    </row>
    <row r="185" spans="1:6" ht="22.5">
      <c r="A185" s="53"/>
      <c r="B185" s="51">
        <f>B104+F185</f>
        <v>180</v>
      </c>
      <c r="D185" s="103" t="s">
        <v>188</v>
      </c>
      <c r="E185" s="49" t="s">
        <v>104</v>
      </c>
      <c r="F185" s="51">
        <v>0</v>
      </c>
    </row>
    <row r="186" spans="1:6" ht="22.5">
      <c r="A186" s="53"/>
      <c r="B186" s="51"/>
      <c r="E186" s="50"/>
      <c r="F186" s="51"/>
    </row>
    <row r="187" spans="1:6" ht="22.5">
      <c r="A187" s="53"/>
      <c r="B187" s="51"/>
      <c r="E187" s="49"/>
      <c r="F187" s="51"/>
    </row>
    <row r="188" spans="1:6" ht="22.5">
      <c r="A188" s="53"/>
      <c r="B188" s="51"/>
      <c r="E188" s="49"/>
      <c r="F188" s="51"/>
    </row>
    <row r="189" spans="1:6" ht="22.5">
      <c r="A189" s="53"/>
      <c r="B189" s="54">
        <f>SUM(B182:B188)</f>
        <v>2966394.95</v>
      </c>
      <c r="E189" s="49"/>
      <c r="F189" s="54">
        <f>SUM(F182:F188)</f>
        <v>820542.88</v>
      </c>
    </row>
    <row r="190" spans="2:6" ht="26.25" customHeight="1">
      <c r="B190" s="61">
        <f>B181+B189</f>
        <v>24726584.419999998</v>
      </c>
      <c r="C190" s="46"/>
      <c r="D190" s="47" t="s">
        <v>66</v>
      </c>
      <c r="E190" s="62"/>
      <c r="F190" s="63">
        <f>F181+F189</f>
        <v>2219451.88</v>
      </c>
    </row>
    <row r="199" ht="16.5" customHeight="1"/>
    <row r="200" ht="17.25" customHeight="1" thickBot="1">
      <c r="F200" s="106" t="s">
        <v>232</v>
      </c>
    </row>
    <row r="201" spans="1:6" ht="18.75" customHeight="1" thickTop="1">
      <c r="A201" s="233" t="s">
        <v>42</v>
      </c>
      <c r="B201" s="234"/>
      <c r="C201" s="107"/>
      <c r="D201" s="108"/>
      <c r="E201" s="109"/>
      <c r="F201" s="110" t="s">
        <v>47</v>
      </c>
    </row>
    <row r="202" spans="1:6" ht="18.75" customHeight="1">
      <c r="A202" s="111" t="s">
        <v>43</v>
      </c>
      <c r="B202" s="112" t="s">
        <v>44</v>
      </c>
      <c r="C202" s="113"/>
      <c r="D202" s="113" t="s">
        <v>1</v>
      </c>
      <c r="E202" s="114" t="s">
        <v>45</v>
      </c>
      <c r="F202" s="115" t="s">
        <v>44</v>
      </c>
    </row>
    <row r="203" spans="1:6" ht="18.75" customHeight="1" thickBot="1">
      <c r="A203" s="111" t="s">
        <v>39</v>
      </c>
      <c r="B203" s="116" t="s">
        <v>39</v>
      </c>
      <c r="C203" s="117"/>
      <c r="D203" s="117"/>
      <c r="E203" s="118" t="s">
        <v>46</v>
      </c>
      <c r="F203" s="116" t="s">
        <v>39</v>
      </c>
    </row>
    <row r="204" spans="1:6" ht="18.75" customHeight="1" thickTop="1">
      <c r="A204" s="119"/>
      <c r="B204" s="120"/>
      <c r="C204" s="121" t="s">
        <v>67</v>
      </c>
      <c r="D204" s="122"/>
      <c r="E204" s="123"/>
      <c r="F204" s="120"/>
    </row>
    <row r="205" spans="1:6" ht="18.75" customHeight="1">
      <c r="A205" s="124">
        <v>929000</v>
      </c>
      <c r="B205" s="124">
        <f>B124+F205</f>
        <v>775201</v>
      </c>
      <c r="C205" s="125"/>
      <c r="D205" s="122" t="s">
        <v>14</v>
      </c>
      <c r="E205" s="123" t="s">
        <v>100</v>
      </c>
      <c r="F205" s="124">
        <v>10877</v>
      </c>
    </row>
    <row r="206" spans="1:6" ht="18.75" customHeight="1">
      <c r="A206" s="124">
        <v>0</v>
      </c>
      <c r="B206" s="124">
        <f aca="true" t="shared" si="4" ref="B206:B224">B125+F206</f>
        <v>0</v>
      </c>
      <c r="C206" s="125"/>
      <c r="D206" s="122" t="s">
        <v>14</v>
      </c>
      <c r="E206" s="123" t="s">
        <v>95</v>
      </c>
      <c r="F206" s="124">
        <v>0</v>
      </c>
    </row>
    <row r="207" spans="1:6" ht="18.75" customHeight="1">
      <c r="A207" s="124">
        <v>2401500</v>
      </c>
      <c r="B207" s="124">
        <f t="shared" si="4"/>
        <v>2092884</v>
      </c>
      <c r="C207" s="125"/>
      <c r="D207" s="122" t="s">
        <v>6</v>
      </c>
      <c r="E207" s="123" t="s">
        <v>103</v>
      </c>
      <c r="F207" s="124">
        <v>185003</v>
      </c>
    </row>
    <row r="208" spans="1:6" ht="18.75" customHeight="1">
      <c r="A208" s="124">
        <v>1456320</v>
      </c>
      <c r="B208" s="124">
        <f t="shared" si="4"/>
        <v>1136335</v>
      </c>
      <c r="C208" s="125"/>
      <c r="D208" s="122" t="s">
        <v>7</v>
      </c>
      <c r="E208" s="123" t="s">
        <v>96</v>
      </c>
      <c r="F208" s="124">
        <v>123813</v>
      </c>
    </row>
    <row r="209" spans="1:6" ht="18.75" customHeight="1">
      <c r="A209" s="124">
        <v>806880</v>
      </c>
      <c r="B209" s="124">
        <f t="shared" si="4"/>
        <v>717994</v>
      </c>
      <c r="C209" s="125"/>
      <c r="D209" s="122" t="s">
        <v>7</v>
      </c>
      <c r="E209" s="123" t="s">
        <v>97</v>
      </c>
      <c r="F209" s="124">
        <v>65600</v>
      </c>
    </row>
    <row r="210" spans="1:6" ht="18.75" customHeight="1">
      <c r="A210" s="124">
        <v>3548440</v>
      </c>
      <c r="B210" s="124">
        <f t="shared" si="4"/>
        <v>1992769.5</v>
      </c>
      <c r="C210" s="125"/>
      <c r="D210" s="122" t="s">
        <v>8</v>
      </c>
      <c r="E210" s="123" t="s">
        <v>104</v>
      </c>
      <c r="F210" s="124">
        <v>21179</v>
      </c>
    </row>
    <row r="211" spans="1:6" ht="18.75" customHeight="1">
      <c r="A211" s="124">
        <v>1376500</v>
      </c>
      <c r="B211" s="124">
        <f t="shared" si="4"/>
        <v>915648.0700000001</v>
      </c>
      <c r="C211" s="125"/>
      <c r="D211" s="122" t="s">
        <v>9</v>
      </c>
      <c r="E211" s="123" t="s">
        <v>105</v>
      </c>
      <c r="F211" s="124">
        <v>52688.18</v>
      </c>
    </row>
    <row r="212" spans="1:6" ht="18.75" customHeight="1">
      <c r="A212" s="124">
        <v>2011450</v>
      </c>
      <c r="B212" s="124">
        <f t="shared" si="4"/>
        <v>897839.55</v>
      </c>
      <c r="C212" s="125"/>
      <c r="D212" s="122" t="s">
        <v>9</v>
      </c>
      <c r="E212" s="123" t="s">
        <v>189</v>
      </c>
      <c r="F212" s="124">
        <v>4550</v>
      </c>
    </row>
    <row r="213" spans="1:6" ht="18.75" customHeight="1">
      <c r="A213" s="124">
        <v>0</v>
      </c>
      <c r="B213" s="124">
        <f t="shared" si="4"/>
        <v>0</v>
      </c>
      <c r="C213" s="125"/>
      <c r="D213" s="122" t="s">
        <v>10</v>
      </c>
      <c r="E213" s="123" t="s">
        <v>98</v>
      </c>
      <c r="F213" s="124">
        <v>0</v>
      </c>
    </row>
    <row r="214" spans="1:6" ht="18.75" customHeight="1">
      <c r="A214" s="124">
        <v>2621136</v>
      </c>
      <c r="B214" s="124">
        <f t="shared" si="4"/>
        <v>1477734.64</v>
      </c>
      <c r="C214" s="125"/>
      <c r="D214" s="122" t="s">
        <v>10</v>
      </c>
      <c r="E214" s="123" t="s">
        <v>99</v>
      </c>
      <c r="F214" s="124">
        <v>83750</v>
      </c>
    </row>
    <row r="215" spans="1:6" ht="18.75" customHeight="1">
      <c r="A215" s="124">
        <v>370000</v>
      </c>
      <c r="B215" s="124">
        <f t="shared" si="4"/>
        <v>291641.01</v>
      </c>
      <c r="C215" s="125"/>
      <c r="D215" s="122" t="s">
        <v>11</v>
      </c>
      <c r="E215" s="123" t="s">
        <v>106</v>
      </c>
      <c r="F215" s="124">
        <v>27111.94</v>
      </c>
    </row>
    <row r="216" spans="1:6" ht="18.75" customHeight="1">
      <c r="A216" s="124">
        <v>0</v>
      </c>
      <c r="B216" s="124">
        <f t="shared" si="4"/>
        <v>0</v>
      </c>
      <c r="C216" s="125"/>
      <c r="D216" s="122" t="s">
        <v>11</v>
      </c>
      <c r="E216" s="123" t="s">
        <v>190</v>
      </c>
      <c r="F216" s="124">
        <v>0</v>
      </c>
    </row>
    <row r="217" spans="1:6" ht="18.75" customHeight="1">
      <c r="A217" s="124">
        <v>251000</v>
      </c>
      <c r="B217" s="124">
        <f t="shared" si="4"/>
        <v>264500</v>
      </c>
      <c r="C217" s="125"/>
      <c r="D217" s="122" t="s">
        <v>16</v>
      </c>
      <c r="E217" s="123" t="s">
        <v>101</v>
      </c>
      <c r="F217" s="124">
        <v>1500</v>
      </c>
    </row>
    <row r="218" spans="1:6" ht="18.75" customHeight="1">
      <c r="A218" s="124">
        <v>1524000</v>
      </c>
      <c r="B218" s="124">
        <f t="shared" si="4"/>
        <v>1064682</v>
      </c>
      <c r="C218" s="125"/>
      <c r="D218" s="122" t="s">
        <v>16</v>
      </c>
      <c r="E218" s="123" t="s">
        <v>102</v>
      </c>
      <c r="F218" s="124">
        <v>12000</v>
      </c>
    </row>
    <row r="219" spans="1:6" ht="18.75" customHeight="1">
      <c r="A219" s="124">
        <v>0</v>
      </c>
      <c r="B219" s="124">
        <f t="shared" si="4"/>
        <v>0</v>
      </c>
      <c r="C219" s="125"/>
      <c r="D219" s="122" t="s">
        <v>12</v>
      </c>
      <c r="E219" s="123" t="s">
        <v>107</v>
      </c>
      <c r="F219" s="124">
        <v>0</v>
      </c>
    </row>
    <row r="220" spans="1:6" ht="18.75" customHeight="1">
      <c r="A220" s="124">
        <v>169000</v>
      </c>
      <c r="B220" s="124">
        <f t="shared" si="4"/>
        <v>20000</v>
      </c>
      <c r="C220" s="125"/>
      <c r="D220" s="122" t="s">
        <v>12</v>
      </c>
      <c r="E220" s="123" t="s">
        <v>121</v>
      </c>
      <c r="F220" s="124">
        <v>20000</v>
      </c>
    </row>
    <row r="221" spans="1:6" ht="18.75" customHeight="1">
      <c r="A221" s="124">
        <v>0</v>
      </c>
      <c r="B221" s="124">
        <f t="shared" si="4"/>
        <v>0</v>
      </c>
      <c r="C221" s="125"/>
      <c r="D221" s="122" t="s">
        <v>13</v>
      </c>
      <c r="E221" s="123" t="s">
        <v>108</v>
      </c>
      <c r="F221" s="124">
        <v>0</v>
      </c>
    </row>
    <row r="222" spans="1:6" ht="18.75" customHeight="1">
      <c r="A222" s="124">
        <v>1266774</v>
      </c>
      <c r="B222" s="124">
        <f t="shared" si="4"/>
        <v>0</v>
      </c>
      <c r="C222" s="125"/>
      <c r="D222" s="122" t="s">
        <v>13</v>
      </c>
      <c r="E222" s="123" t="s">
        <v>191</v>
      </c>
      <c r="F222" s="124">
        <v>0</v>
      </c>
    </row>
    <row r="223" spans="1:6" ht="18.75" customHeight="1">
      <c r="A223" s="124">
        <v>0</v>
      </c>
      <c r="B223" s="124">
        <f t="shared" si="4"/>
        <v>2000</v>
      </c>
      <c r="C223" s="125"/>
      <c r="D223" s="122" t="s">
        <v>15</v>
      </c>
      <c r="E223" s="123" t="s">
        <v>115</v>
      </c>
      <c r="F223" s="124">
        <v>1000</v>
      </c>
    </row>
    <row r="224" spans="1:6" ht="18.75" customHeight="1">
      <c r="A224" s="124">
        <v>3768000</v>
      </c>
      <c r="B224" s="124">
        <f t="shared" si="4"/>
        <v>2525500</v>
      </c>
      <c r="C224" s="125"/>
      <c r="D224" s="122" t="s">
        <v>15</v>
      </c>
      <c r="E224" s="123" t="s">
        <v>192</v>
      </c>
      <c r="F224" s="124">
        <v>0</v>
      </c>
    </row>
    <row r="225" spans="1:6" ht="18.75" customHeight="1" thickBot="1">
      <c r="A225" s="126">
        <f>SUM(A205:A224)</f>
        <v>22500000</v>
      </c>
      <c r="B225" s="126">
        <f>SUM(B205:B224)</f>
        <v>14174728.770000001</v>
      </c>
      <c r="C225" s="125"/>
      <c r="D225" s="122"/>
      <c r="E225" s="123"/>
      <c r="F225" s="127">
        <f>SUM(F205:F224)</f>
        <v>609072.1199999999</v>
      </c>
    </row>
    <row r="226" spans="1:8" ht="18.75" customHeight="1" thickTop="1">
      <c r="A226" s="128"/>
      <c r="B226" s="129">
        <f aca="true" t="shared" si="5" ref="B226:B232">B145+F226</f>
        <v>1158000</v>
      </c>
      <c r="C226" s="125"/>
      <c r="D226" s="122" t="s">
        <v>138</v>
      </c>
      <c r="E226" s="123" t="s">
        <v>88</v>
      </c>
      <c r="F226" s="124">
        <v>288000</v>
      </c>
      <c r="H226" s="57"/>
    </row>
    <row r="227" spans="1:6" ht="18.75" customHeight="1">
      <c r="A227" s="128"/>
      <c r="B227" s="129">
        <f t="shared" si="5"/>
        <v>68780</v>
      </c>
      <c r="C227" s="125"/>
      <c r="D227" s="122" t="s">
        <v>193</v>
      </c>
      <c r="E227" s="123" t="s">
        <v>88</v>
      </c>
      <c r="F227" s="124">
        <v>0</v>
      </c>
    </row>
    <row r="228" spans="1:6" ht="18.75" customHeight="1">
      <c r="A228" s="128"/>
      <c r="B228" s="129">
        <f t="shared" si="5"/>
        <v>1463374</v>
      </c>
      <c r="C228" s="125"/>
      <c r="D228" s="122" t="s">
        <v>19</v>
      </c>
      <c r="E228" s="123" t="s">
        <v>23</v>
      </c>
      <c r="F228" s="124">
        <v>0</v>
      </c>
    </row>
    <row r="229" spans="1:6" ht="18.75" customHeight="1">
      <c r="A229" s="122"/>
      <c r="B229" s="129">
        <f t="shared" si="5"/>
        <v>699482.2</v>
      </c>
      <c r="C229" s="125"/>
      <c r="D229" s="122" t="s">
        <v>139</v>
      </c>
      <c r="E229" s="123" t="s">
        <v>36</v>
      </c>
      <c r="F229" s="124">
        <v>0</v>
      </c>
    </row>
    <row r="230" spans="1:6" ht="18.75" customHeight="1">
      <c r="A230" s="122"/>
      <c r="B230" s="129">
        <f t="shared" si="5"/>
        <v>1131700</v>
      </c>
      <c r="C230" s="125"/>
      <c r="D230" s="122" t="s">
        <v>17</v>
      </c>
      <c r="E230" s="123" t="s">
        <v>92</v>
      </c>
      <c r="F230" s="124">
        <v>170000</v>
      </c>
    </row>
    <row r="231" spans="1:6" ht="18.75" customHeight="1">
      <c r="A231" s="122"/>
      <c r="B231" s="129">
        <f t="shared" si="5"/>
        <v>303578.81</v>
      </c>
      <c r="C231" s="125"/>
      <c r="D231" s="122" t="s">
        <v>140</v>
      </c>
      <c r="E231" s="123" t="s">
        <v>37</v>
      </c>
      <c r="F231" s="124">
        <v>8258.19</v>
      </c>
    </row>
    <row r="232" spans="1:6" ht="18.75" customHeight="1">
      <c r="A232" s="122"/>
      <c r="B232" s="129">
        <f t="shared" si="5"/>
        <v>146334</v>
      </c>
      <c r="C232" s="125"/>
      <c r="D232" s="143" t="s">
        <v>220</v>
      </c>
      <c r="E232" s="123" t="s">
        <v>64</v>
      </c>
      <c r="F232" s="124">
        <v>34834</v>
      </c>
    </row>
    <row r="233" spans="1:6" ht="18.75" customHeight="1">
      <c r="A233" s="122"/>
      <c r="B233" s="129">
        <f>+F233</f>
        <v>49500</v>
      </c>
      <c r="C233" s="125"/>
      <c r="D233" s="143" t="s">
        <v>234</v>
      </c>
      <c r="E233" s="123" t="s">
        <v>64</v>
      </c>
      <c r="F233" s="124">
        <v>49500</v>
      </c>
    </row>
    <row r="234" spans="1:6" ht="18.75" customHeight="1">
      <c r="A234" s="122"/>
      <c r="B234" s="129">
        <f>+F234</f>
        <v>40000</v>
      </c>
      <c r="C234" s="125"/>
      <c r="D234" s="143" t="s">
        <v>235</v>
      </c>
      <c r="E234" s="130" t="s">
        <v>64</v>
      </c>
      <c r="F234" s="124">
        <v>40000</v>
      </c>
    </row>
    <row r="235" spans="1:6" ht="18.75" customHeight="1">
      <c r="A235" s="122"/>
      <c r="B235" s="131">
        <f>SUM(B226:B234)</f>
        <v>5060749.01</v>
      </c>
      <c r="C235" s="125"/>
      <c r="D235" s="122"/>
      <c r="E235" s="132"/>
      <c r="F235" s="131">
        <f>SUM(F226:F234)</f>
        <v>590592.19</v>
      </c>
    </row>
    <row r="236" spans="1:6" ht="18.75" customHeight="1">
      <c r="A236" s="122"/>
      <c r="B236" s="131">
        <f>B225+B235</f>
        <v>19235477.78</v>
      </c>
      <c r="C236" s="125"/>
      <c r="D236" s="133" t="s">
        <v>72</v>
      </c>
      <c r="E236" s="132"/>
      <c r="F236" s="131">
        <f>F225+F235</f>
        <v>1199664.3099999998</v>
      </c>
    </row>
    <row r="237" spans="1:6" ht="18.75" customHeight="1">
      <c r="A237" s="122"/>
      <c r="B237" s="134">
        <f>IF(B190&gt;B236,(B190-B236)," ")</f>
        <v>5491106.639999997</v>
      </c>
      <c r="C237" s="125"/>
      <c r="D237" s="133" t="s">
        <v>73</v>
      </c>
      <c r="E237" s="132"/>
      <c r="F237" s="134">
        <f>IF(F190&gt;F236,(F190-F236)," ")</f>
        <v>1019787.5700000001</v>
      </c>
    </row>
    <row r="238" spans="1:6" ht="16.5" customHeight="1">
      <c r="A238" s="122"/>
      <c r="B238" s="124"/>
      <c r="C238" s="125"/>
      <c r="D238" s="133" t="s">
        <v>74</v>
      </c>
      <c r="E238" s="132"/>
      <c r="F238" s="124"/>
    </row>
    <row r="239" spans="1:6" ht="18" customHeight="1">
      <c r="A239" s="122"/>
      <c r="B239" s="135" t="str">
        <f>IF(B190&lt;B236,(B236-B190)," ")</f>
        <v> </v>
      </c>
      <c r="C239" s="125"/>
      <c r="D239" s="133" t="s">
        <v>75</v>
      </c>
      <c r="E239" s="132"/>
      <c r="F239" s="135" t="str">
        <f>IF(F190&lt;F236,(F236-F190)," ")</f>
        <v> </v>
      </c>
    </row>
    <row r="240" spans="1:8" ht="18.75" customHeight="1" thickBot="1">
      <c r="A240" s="122"/>
      <c r="B240" s="136">
        <f>IF(B237=" ",(B171-B239),(B171+B237))</f>
        <v>14824656.229999997</v>
      </c>
      <c r="C240" s="125"/>
      <c r="D240" s="137" t="s">
        <v>76</v>
      </c>
      <c r="E240" s="132"/>
      <c r="F240" s="136">
        <f>IF(F237=" ",(F171-F239),(F171+F237))</f>
        <v>14824656.23</v>
      </c>
      <c r="H240" s="57">
        <f>12017343.9</f>
        <v>12017343.9</v>
      </c>
    </row>
    <row r="241" spans="2:8" ht="18.75" customHeight="1" thickTop="1">
      <c r="B241" s="59"/>
      <c r="C241" s="56"/>
      <c r="D241" s="48"/>
      <c r="E241" s="60"/>
      <c r="F241" s="59"/>
      <c r="H241" s="57"/>
    </row>
    <row r="242" ht="5.25" customHeight="1">
      <c r="H242" s="57">
        <f>F240-H240</f>
        <v>2807312.33</v>
      </c>
    </row>
    <row r="243" spans="1:8" ht="20.25" customHeight="1">
      <c r="A243" s="235" t="s">
        <v>226</v>
      </c>
      <c r="B243" s="235"/>
      <c r="C243" s="235"/>
      <c r="D243" s="235"/>
      <c r="E243" s="235"/>
      <c r="F243" s="235"/>
      <c r="G243" s="235"/>
      <c r="H243" s="235"/>
    </row>
    <row r="244" spans="1:8" ht="20.25" customHeight="1">
      <c r="A244" s="235" t="s">
        <v>227</v>
      </c>
      <c r="B244" s="235"/>
      <c r="C244" s="235"/>
      <c r="D244" s="235"/>
      <c r="E244" s="235"/>
      <c r="F244" s="235"/>
      <c r="G244" s="235"/>
      <c r="H244" s="235"/>
    </row>
    <row r="245" spans="1:8" ht="20.25" customHeight="1">
      <c r="A245" s="228" t="s">
        <v>228</v>
      </c>
      <c r="B245" s="228"/>
      <c r="C245" s="228"/>
      <c r="D245" s="228"/>
      <c r="E245" s="228"/>
      <c r="F245" s="228"/>
      <c r="G245" s="228"/>
      <c r="H245" s="228"/>
    </row>
    <row r="246" spans="1:8" ht="26.25">
      <c r="A246" s="236" t="s">
        <v>0</v>
      </c>
      <c r="B246" s="236"/>
      <c r="C246" s="236"/>
      <c r="D246" s="236"/>
      <c r="E246" s="236"/>
      <c r="F246" s="236"/>
      <c r="G246" s="44"/>
      <c r="H246" s="44"/>
    </row>
    <row r="247" spans="1:8" ht="26.25">
      <c r="A247" s="236" t="s">
        <v>40</v>
      </c>
      <c r="B247" s="236"/>
      <c r="C247" s="236"/>
      <c r="D247" s="236"/>
      <c r="E247" s="236"/>
      <c r="F247" s="236"/>
      <c r="G247" s="44"/>
      <c r="H247" s="44"/>
    </row>
    <row r="248" spans="1:6" ht="23.25">
      <c r="A248" s="46"/>
      <c r="B248" s="46"/>
      <c r="C248" s="46"/>
      <c r="D248" s="46"/>
      <c r="E248" s="46" t="s">
        <v>143</v>
      </c>
      <c r="F248" s="46"/>
    </row>
    <row r="249" spans="1:8" ht="23.25">
      <c r="A249" s="237" t="s">
        <v>41</v>
      </c>
      <c r="B249" s="237"/>
      <c r="C249" s="237"/>
      <c r="D249" s="237"/>
      <c r="E249" s="237"/>
      <c r="F249" s="237"/>
      <c r="G249" s="48"/>
      <c r="H249" s="48"/>
    </row>
    <row r="250" spans="1:6" ht="24" thickBot="1">
      <c r="A250" s="46"/>
      <c r="B250" s="46"/>
      <c r="C250" s="46"/>
      <c r="D250" s="238" t="s">
        <v>243</v>
      </c>
      <c r="E250" s="238"/>
      <c r="F250" s="238"/>
    </row>
    <row r="251" spans="1:6" ht="24" thickTop="1">
      <c r="A251" s="231" t="s">
        <v>42</v>
      </c>
      <c r="B251" s="232"/>
      <c r="C251" s="66"/>
      <c r="D251" s="66"/>
      <c r="E251" s="67"/>
      <c r="F251" s="68" t="s">
        <v>47</v>
      </c>
    </row>
    <row r="252" spans="1:6" ht="23.25">
      <c r="A252" s="69" t="s">
        <v>43</v>
      </c>
      <c r="B252" s="70" t="s">
        <v>44</v>
      </c>
      <c r="C252" s="71"/>
      <c r="D252" s="71" t="s">
        <v>1</v>
      </c>
      <c r="E252" s="72" t="s">
        <v>45</v>
      </c>
      <c r="F252" s="73" t="s">
        <v>44</v>
      </c>
    </row>
    <row r="253" spans="1:6" ht="24" thickBot="1">
      <c r="A253" s="69" t="s">
        <v>39</v>
      </c>
      <c r="B253" s="74" t="s">
        <v>39</v>
      </c>
      <c r="C253" s="65"/>
      <c r="D253" s="65"/>
      <c r="E253" s="75" t="s">
        <v>46</v>
      </c>
      <c r="F253" s="74" t="s">
        <v>39</v>
      </c>
    </row>
    <row r="254" spans="1:6" ht="24" thickTop="1">
      <c r="A254" s="58"/>
      <c r="B254" s="76">
        <v>9333549.59</v>
      </c>
      <c r="D254" s="47" t="s">
        <v>48</v>
      </c>
      <c r="E254" s="50"/>
      <c r="F254" s="77">
        <f>+F240</f>
        <v>14824656.23</v>
      </c>
    </row>
    <row r="255" spans="1:6" ht="23.25">
      <c r="A255" s="185"/>
      <c r="B255" s="185"/>
      <c r="C255" s="64" t="s">
        <v>86</v>
      </c>
      <c r="E255" s="50"/>
      <c r="F255" s="185"/>
    </row>
    <row r="256" spans="1:6" ht="22.5">
      <c r="A256" s="185">
        <v>212000</v>
      </c>
      <c r="B256" s="185">
        <f aca="true" t="shared" si="6" ref="B256:B263">B173+F256</f>
        <v>243442.81999999998</v>
      </c>
      <c r="C256" s="186"/>
      <c r="D256" s="187" t="s">
        <v>49</v>
      </c>
      <c r="E256" s="188" t="s">
        <v>57</v>
      </c>
      <c r="F256" s="185">
        <v>60.52</v>
      </c>
    </row>
    <row r="257" spans="1:6" ht="22.5">
      <c r="A257" s="185">
        <v>220800</v>
      </c>
      <c r="B257" s="185">
        <f t="shared" si="6"/>
        <v>322459</v>
      </c>
      <c r="C257" s="186"/>
      <c r="D257" s="187" t="s">
        <v>50</v>
      </c>
      <c r="E257" s="188" t="s">
        <v>58</v>
      </c>
      <c r="F257" s="185">
        <v>31540</v>
      </c>
    </row>
    <row r="258" spans="1:6" ht="22.5">
      <c r="A258" s="185">
        <v>136000</v>
      </c>
      <c r="B258" s="185">
        <f t="shared" si="6"/>
        <v>73732.18</v>
      </c>
      <c r="C258" s="186"/>
      <c r="D258" s="187" t="s">
        <v>51</v>
      </c>
      <c r="E258" s="188" t="s">
        <v>59</v>
      </c>
      <c r="F258" s="185">
        <v>11244.93</v>
      </c>
    </row>
    <row r="259" spans="1:6" ht="22.5">
      <c r="A259" s="185">
        <v>260000</v>
      </c>
      <c r="B259" s="185">
        <f t="shared" si="6"/>
        <v>199507</v>
      </c>
      <c r="C259" s="186"/>
      <c r="D259" s="187" t="s">
        <v>52</v>
      </c>
      <c r="E259" s="188" t="s">
        <v>60</v>
      </c>
      <c r="F259" s="185">
        <v>21999</v>
      </c>
    </row>
    <row r="260" spans="1:6" ht="22.5">
      <c r="A260" s="185">
        <v>421200</v>
      </c>
      <c r="B260" s="185">
        <f t="shared" si="6"/>
        <v>429605</v>
      </c>
      <c r="C260" s="186"/>
      <c r="D260" s="187" t="s">
        <v>53</v>
      </c>
      <c r="E260" s="188" t="s">
        <v>61</v>
      </c>
      <c r="F260" s="185">
        <v>56700</v>
      </c>
    </row>
    <row r="261" spans="1:6" ht="22.5">
      <c r="A261" s="185">
        <v>0</v>
      </c>
      <c r="B261" s="185">
        <f t="shared" si="6"/>
        <v>0</v>
      </c>
      <c r="C261" s="186"/>
      <c r="D261" s="187" t="s">
        <v>54</v>
      </c>
      <c r="E261" s="188" t="s">
        <v>62</v>
      </c>
      <c r="F261" s="185"/>
    </row>
    <row r="262" spans="1:6" ht="22.5">
      <c r="A262" s="185">
        <v>9050000</v>
      </c>
      <c r="B262" s="185">
        <f t="shared" si="6"/>
        <v>10276944.719999999</v>
      </c>
      <c r="C262" s="186"/>
      <c r="D262" s="187" t="s">
        <v>55</v>
      </c>
      <c r="E262" s="188" t="s">
        <v>63</v>
      </c>
      <c r="F262" s="185">
        <v>904606.19</v>
      </c>
    </row>
    <row r="263" spans="1:6" ht="22.5">
      <c r="A263" s="52">
        <v>12200000</v>
      </c>
      <c r="B263" s="51">
        <f t="shared" si="6"/>
        <v>11240649.39</v>
      </c>
      <c r="C263" s="193"/>
      <c r="D263" s="187" t="s">
        <v>187</v>
      </c>
      <c r="E263" s="188" t="s">
        <v>64</v>
      </c>
      <c r="F263" s="52">
        <v>0</v>
      </c>
    </row>
    <row r="264" spans="1:6" ht="24" thickBot="1">
      <c r="A264" s="104">
        <f>SUM(A256:A263)</f>
        <v>22500000</v>
      </c>
      <c r="B264" s="78">
        <f>SUM(B256:B263)</f>
        <v>22786340.11</v>
      </c>
      <c r="E264" s="49"/>
      <c r="F264" s="78">
        <f>SUM(F256:F263)</f>
        <v>1026150.6399999999</v>
      </c>
    </row>
    <row r="265" spans="1:6" ht="23.25" thickTop="1">
      <c r="A265" s="53"/>
      <c r="B265" s="51">
        <f>B182+F265</f>
        <v>2504770.5500000003</v>
      </c>
      <c r="C265" s="186"/>
      <c r="D265" s="187" t="s">
        <v>56</v>
      </c>
      <c r="E265" s="188" t="s">
        <v>65</v>
      </c>
      <c r="F265" s="51">
        <v>60985.85</v>
      </c>
    </row>
    <row r="266" spans="1:6" ht="22.5">
      <c r="A266" s="53"/>
      <c r="B266" s="185">
        <f>B183+F266</f>
        <v>535728.24</v>
      </c>
      <c r="C266" s="186"/>
      <c r="D266" s="187" t="s">
        <v>140</v>
      </c>
      <c r="E266" s="188" t="s">
        <v>36</v>
      </c>
      <c r="F266" s="185">
        <v>13297.99</v>
      </c>
    </row>
    <row r="267" spans="1:6" ht="22.5">
      <c r="A267" s="53"/>
      <c r="B267" s="185">
        <f>B184+F267</f>
        <v>0</v>
      </c>
      <c r="C267" s="186"/>
      <c r="D267" s="187" t="s">
        <v>19</v>
      </c>
      <c r="E267" s="188" t="s">
        <v>37</v>
      </c>
      <c r="F267" s="185">
        <v>0</v>
      </c>
    </row>
    <row r="268" spans="1:6" ht="22.5">
      <c r="A268" s="53"/>
      <c r="B268" s="185"/>
      <c r="D268" s="103"/>
      <c r="E268" s="49"/>
      <c r="F268" s="185"/>
    </row>
    <row r="269" spans="1:6" ht="22.5">
      <c r="A269" s="53"/>
      <c r="B269" s="185"/>
      <c r="E269" s="50"/>
      <c r="F269" s="185"/>
    </row>
    <row r="270" spans="1:6" ht="22.5">
      <c r="A270" s="53"/>
      <c r="B270" s="185"/>
      <c r="E270" s="49"/>
      <c r="F270" s="185"/>
    </row>
    <row r="271" spans="1:6" ht="22.5">
      <c r="A271" s="53"/>
      <c r="B271" s="51"/>
      <c r="E271" s="49"/>
      <c r="F271" s="51"/>
    </row>
    <row r="272" spans="1:6" ht="22.5">
      <c r="A272" s="53"/>
      <c r="B272" s="54">
        <f>SUM(B265:B271)</f>
        <v>3040498.79</v>
      </c>
      <c r="E272" s="49"/>
      <c r="F272" s="54">
        <f>SUM(F265:F271)</f>
        <v>74283.84</v>
      </c>
    </row>
    <row r="273" spans="2:6" ht="26.25" customHeight="1">
      <c r="B273" s="61">
        <f>B264+B272</f>
        <v>25826838.9</v>
      </c>
      <c r="C273" s="46"/>
      <c r="D273" s="47" t="s">
        <v>66</v>
      </c>
      <c r="E273" s="62"/>
      <c r="F273" s="63">
        <f>F264+F272</f>
        <v>1100434.48</v>
      </c>
    </row>
    <row r="282" ht="16.5" customHeight="1"/>
    <row r="283" ht="17.25" customHeight="1" thickBot="1">
      <c r="F283" s="106" t="s">
        <v>244</v>
      </c>
    </row>
    <row r="284" spans="1:6" ht="18.75" customHeight="1" thickTop="1">
      <c r="A284" s="233" t="s">
        <v>42</v>
      </c>
      <c r="B284" s="234"/>
      <c r="C284" s="107"/>
      <c r="D284" s="108"/>
      <c r="E284" s="109"/>
      <c r="F284" s="110" t="s">
        <v>47</v>
      </c>
    </row>
    <row r="285" spans="1:6" ht="17.25" customHeight="1">
      <c r="A285" s="111" t="s">
        <v>43</v>
      </c>
      <c r="B285" s="112" t="s">
        <v>44</v>
      </c>
      <c r="C285" s="113"/>
      <c r="D285" s="229" t="s">
        <v>1</v>
      </c>
      <c r="E285" s="114" t="s">
        <v>45</v>
      </c>
      <c r="F285" s="115" t="s">
        <v>44</v>
      </c>
    </row>
    <row r="286" spans="1:6" ht="15.75" customHeight="1" thickBot="1">
      <c r="A286" s="116" t="s">
        <v>39</v>
      </c>
      <c r="B286" s="116" t="s">
        <v>39</v>
      </c>
      <c r="C286" s="117"/>
      <c r="D286" s="230"/>
      <c r="E286" s="118" t="s">
        <v>46</v>
      </c>
      <c r="F286" s="116" t="s">
        <v>39</v>
      </c>
    </row>
    <row r="287" spans="1:6" ht="18.75" customHeight="1" thickTop="1">
      <c r="A287" s="120"/>
      <c r="B287" s="120"/>
      <c r="C287" s="121" t="s">
        <v>67</v>
      </c>
      <c r="D287" s="122"/>
      <c r="E287" s="123"/>
      <c r="F287" s="120"/>
    </row>
    <row r="288" spans="1:6" ht="18.75" customHeight="1">
      <c r="A288" s="189">
        <v>929000</v>
      </c>
      <c r="B288" s="189">
        <f>B205+F288</f>
        <v>830625</v>
      </c>
      <c r="C288" s="190"/>
      <c r="D288" s="198" t="s">
        <v>14</v>
      </c>
      <c r="E288" s="199" t="s">
        <v>100</v>
      </c>
      <c r="F288" s="189">
        <v>55424</v>
      </c>
    </row>
    <row r="289" spans="1:6" ht="17.25" customHeight="1">
      <c r="A289" s="189">
        <v>0</v>
      </c>
      <c r="B289" s="189">
        <f aca="true" t="shared" si="7" ref="B289:B305">B206+F289</f>
        <v>0</v>
      </c>
      <c r="C289" s="190"/>
      <c r="D289" s="198" t="s">
        <v>14</v>
      </c>
      <c r="E289" s="199" t="s">
        <v>95</v>
      </c>
      <c r="F289" s="189">
        <v>0</v>
      </c>
    </row>
    <row r="290" spans="1:6" ht="18.75" customHeight="1">
      <c r="A290" s="189">
        <v>2401500</v>
      </c>
      <c r="B290" s="189">
        <f t="shared" si="7"/>
        <v>2277094</v>
      </c>
      <c r="C290" s="190"/>
      <c r="D290" s="198" t="s">
        <v>6</v>
      </c>
      <c r="E290" s="199" t="s">
        <v>103</v>
      </c>
      <c r="F290" s="189">
        <v>184210</v>
      </c>
    </row>
    <row r="291" spans="1:6" ht="18.75" customHeight="1">
      <c r="A291" s="189">
        <v>1456320</v>
      </c>
      <c r="B291" s="189">
        <f t="shared" si="7"/>
        <v>1259235</v>
      </c>
      <c r="C291" s="190"/>
      <c r="D291" s="198" t="s">
        <v>7</v>
      </c>
      <c r="E291" s="199" t="s">
        <v>96</v>
      </c>
      <c r="F291" s="189">
        <v>122900</v>
      </c>
    </row>
    <row r="292" spans="1:6" ht="18.75" customHeight="1">
      <c r="A292" s="189">
        <v>806880</v>
      </c>
      <c r="B292" s="189">
        <f t="shared" si="7"/>
        <v>783594</v>
      </c>
      <c r="C292" s="190"/>
      <c r="D292" s="198" t="s">
        <v>7</v>
      </c>
      <c r="E292" s="199" t="s">
        <v>97</v>
      </c>
      <c r="F292" s="189">
        <v>65600</v>
      </c>
    </row>
    <row r="293" spans="1:6" ht="18.75" customHeight="1">
      <c r="A293" s="189">
        <v>3548440</v>
      </c>
      <c r="B293" s="189">
        <f>B210+F293-180</f>
        <v>2050797.5</v>
      </c>
      <c r="C293" s="190"/>
      <c r="D293" s="198" t="s">
        <v>8</v>
      </c>
      <c r="E293" s="199" t="s">
        <v>104</v>
      </c>
      <c r="F293" s="189">
        <v>58208</v>
      </c>
    </row>
    <row r="294" spans="1:6" ht="18.75" customHeight="1">
      <c r="A294" s="189">
        <v>1376500</v>
      </c>
      <c r="B294" s="189">
        <f t="shared" si="7"/>
        <v>999648.8900000001</v>
      </c>
      <c r="C294" s="190"/>
      <c r="D294" s="198" t="s">
        <v>9</v>
      </c>
      <c r="E294" s="199" t="s">
        <v>105</v>
      </c>
      <c r="F294" s="189">
        <v>84000.82</v>
      </c>
    </row>
    <row r="295" spans="1:6" ht="18.75" customHeight="1">
      <c r="A295" s="189">
        <v>2011450</v>
      </c>
      <c r="B295" s="189">
        <f t="shared" si="7"/>
        <v>1449130.75</v>
      </c>
      <c r="C295" s="190"/>
      <c r="D295" s="198" t="s">
        <v>9</v>
      </c>
      <c r="E295" s="199" t="s">
        <v>189</v>
      </c>
      <c r="F295" s="189">
        <v>551291.2</v>
      </c>
    </row>
    <row r="296" spans="1:6" ht="15" customHeight="1">
      <c r="A296" s="189">
        <v>0</v>
      </c>
      <c r="B296" s="189">
        <f t="shared" si="7"/>
        <v>0</v>
      </c>
      <c r="C296" s="190"/>
      <c r="D296" s="198" t="s">
        <v>10</v>
      </c>
      <c r="E296" s="199" t="s">
        <v>98</v>
      </c>
      <c r="F296" s="189">
        <v>0</v>
      </c>
    </row>
    <row r="297" spans="1:6" ht="18.75" customHeight="1">
      <c r="A297" s="189">
        <v>2621136</v>
      </c>
      <c r="B297" s="189">
        <v>1854888.96</v>
      </c>
      <c r="C297" s="190"/>
      <c r="D297" s="198" t="s">
        <v>10</v>
      </c>
      <c r="E297" s="199" t="s">
        <v>99</v>
      </c>
      <c r="F297" s="189">
        <v>381654.32</v>
      </c>
    </row>
    <row r="298" spans="1:6" ht="18.75" customHeight="1">
      <c r="A298" s="189">
        <v>370000</v>
      </c>
      <c r="B298" s="189">
        <v>294448.43</v>
      </c>
      <c r="C298" s="190"/>
      <c r="D298" s="198" t="s">
        <v>11</v>
      </c>
      <c r="E298" s="199" t="s">
        <v>106</v>
      </c>
      <c r="F298" s="189">
        <v>33086.4</v>
      </c>
    </row>
    <row r="299" spans="1:6" ht="15.75" customHeight="1">
      <c r="A299" s="189">
        <v>0</v>
      </c>
      <c r="B299" s="189">
        <v>30278.43</v>
      </c>
      <c r="C299" s="190"/>
      <c r="D299" s="198" t="s">
        <v>11</v>
      </c>
      <c r="E299" s="199" t="s">
        <v>190</v>
      </c>
      <c r="F299" s="189">
        <v>0</v>
      </c>
    </row>
    <row r="300" spans="1:6" ht="18.75" customHeight="1">
      <c r="A300" s="189">
        <v>251000</v>
      </c>
      <c r="B300" s="189">
        <f t="shared" si="7"/>
        <v>264500</v>
      </c>
      <c r="C300" s="190"/>
      <c r="D300" s="198" t="s">
        <v>16</v>
      </c>
      <c r="E300" s="199" t="s">
        <v>101</v>
      </c>
      <c r="F300" s="189">
        <v>0</v>
      </c>
    </row>
    <row r="301" spans="1:6" ht="18.75" customHeight="1">
      <c r="A301" s="189">
        <v>1524000</v>
      </c>
      <c r="B301" s="189">
        <f t="shared" si="7"/>
        <v>1617282</v>
      </c>
      <c r="C301" s="190"/>
      <c r="D301" s="198" t="s">
        <v>16</v>
      </c>
      <c r="E301" s="199" t="s">
        <v>102</v>
      </c>
      <c r="F301" s="189">
        <v>552600</v>
      </c>
    </row>
    <row r="302" spans="1:6" ht="15.75" customHeight="1">
      <c r="A302" s="189">
        <v>0</v>
      </c>
      <c r="B302" s="189">
        <f t="shared" si="7"/>
        <v>0</v>
      </c>
      <c r="C302" s="190"/>
      <c r="D302" s="198" t="s">
        <v>12</v>
      </c>
      <c r="E302" s="199" t="s">
        <v>107</v>
      </c>
      <c r="F302" s="189">
        <v>0</v>
      </c>
    </row>
    <row r="303" spans="1:6" ht="18.75" customHeight="1">
      <c r="A303" s="189">
        <v>169000</v>
      </c>
      <c r="B303" s="189">
        <v>168200</v>
      </c>
      <c r="C303" s="190"/>
      <c r="D303" s="198" t="s">
        <v>12</v>
      </c>
      <c r="E303" s="199" t="s">
        <v>121</v>
      </c>
      <c r="F303" s="189">
        <v>0</v>
      </c>
    </row>
    <row r="304" spans="1:6" ht="15.75" customHeight="1">
      <c r="A304" s="189">
        <v>0</v>
      </c>
      <c r="B304" s="189">
        <f t="shared" si="7"/>
        <v>0</v>
      </c>
      <c r="C304" s="190"/>
      <c r="D304" s="198" t="s">
        <v>13</v>
      </c>
      <c r="E304" s="199" t="s">
        <v>108</v>
      </c>
      <c r="F304" s="189">
        <v>0</v>
      </c>
    </row>
    <row r="305" spans="1:6" ht="18" customHeight="1">
      <c r="A305" s="189">
        <v>1266774</v>
      </c>
      <c r="B305" s="189">
        <f t="shared" si="7"/>
        <v>0</v>
      </c>
      <c r="C305" s="190"/>
      <c r="D305" s="198" t="s">
        <v>13</v>
      </c>
      <c r="E305" s="199" t="s">
        <v>191</v>
      </c>
      <c r="F305" s="189">
        <v>0</v>
      </c>
    </row>
    <row r="306" spans="1:6" ht="18.75" customHeight="1">
      <c r="A306" s="189">
        <v>0</v>
      </c>
      <c r="B306" s="189">
        <v>10000</v>
      </c>
      <c r="C306" s="190"/>
      <c r="D306" s="198" t="s">
        <v>15</v>
      </c>
      <c r="E306" s="199" t="s">
        <v>115</v>
      </c>
      <c r="F306" s="189">
        <v>2000</v>
      </c>
    </row>
    <row r="307" spans="1:6" ht="18.75" customHeight="1">
      <c r="A307" s="124">
        <v>3768000</v>
      </c>
      <c r="B307" s="124">
        <v>3759000</v>
      </c>
      <c r="C307" s="197"/>
      <c r="D307" s="198" t="s">
        <v>15</v>
      </c>
      <c r="E307" s="199" t="s">
        <v>192</v>
      </c>
      <c r="F307" s="124">
        <v>1239500</v>
      </c>
    </row>
    <row r="308" spans="1:6" ht="18.75" customHeight="1" thickBot="1">
      <c r="A308" s="126">
        <f>SUM(A288:A307)</f>
        <v>22500000</v>
      </c>
      <c r="B308" s="126">
        <f>SUM(B288:B307)</f>
        <v>17648722.96</v>
      </c>
      <c r="C308" s="125"/>
      <c r="D308" s="200"/>
      <c r="E308" s="201"/>
      <c r="F308" s="127">
        <f>SUM(F288:F307)</f>
        <v>3330474.74</v>
      </c>
    </row>
    <row r="309" spans="1:8" ht="18" customHeight="1" thickTop="1">
      <c r="A309" s="128"/>
      <c r="B309" s="129">
        <f>B226+F309</f>
        <v>1734000</v>
      </c>
      <c r="C309" s="192"/>
      <c r="D309" s="202" t="s">
        <v>138</v>
      </c>
      <c r="E309" s="199" t="s">
        <v>88</v>
      </c>
      <c r="F309" s="124">
        <v>576000</v>
      </c>
      <c r="H309" s="57"/>
    </row>
    <row r="310" spans="1:6" ht="18" customHeight="1">
      <c r="A310" s="128"/>
      <c r="B310" s="191">
        <f aca="true" t="shared" si="8" ref="B310:B315">B227+F310</f>
        <v>68780</v>
      </c>
      <c r="C310" s="192"/>
      <c r="D310" s="202" t="s">
        <v>193</v>
      </c>
      <c r="E310" s="199" t="s">
        <v>88</v>
      </c>
      <c r="F310" s="189">
        <v>0</v>
      </c>
    </row>
    <row r="311" spans="1:6" ht="18" customHeight="1">
      <c r="A311" s="128"/>
      <c r="B311" s="191">
        <f t="shared" si="8"/>
        <v>1463374</v>
      </c>
      <c r="C311" s="192"/>
      <c r="D311" s="202" t="s">
        <v>19</v>
      </c>
      <c r="E311" s="199" t="s">
        <v>23</v>
      </c>
      <c r="F311" s="189">
        <v>0</v>
      </c>
    </row>
    <row r="312" spans="1:6" ht="18" customHeight="1">
      <c r="A312" s="122"/>
      <c r="B312" s="191">
        <f t="shared" si="8"/>
        <v>699482.2</v>
      </c>
      <c r="C312" s="192"/>
      <c r="D312" s="202" t="s">
        <v>139</v>
      </c>
      <c r="E312" s="199" t="s">
        <v>36</v>
      </c>
      <c r="F312" s="189">
        <v>0</v>
      </c>
    </row>
    <row r="313" spans="1:6" ht="18" customHeight="1">
      <c r="A313" s="122"/>
      <c r="B313" s="191">
        <v>988000</v>
      </c>
      <c r="C313" s="192"/>
      <c r="D313" s="202" t="s">
        <v>17</v>
      </c>
      <c r="E313" s="199" t="s">
        <v>92</v>
      </c>
      <c r="F313" s="189">
        <v>0</v>
      </c>
    </row>
    <row r="314" spans="1:6" ht="18" customHeight="1">
      <c r="A314" s="122"/>
      <c r="B314" s="191">
        <f t="shared" si="8"/>
        <v>354945.18</v>
      </c>
      <c r="C314" s="192"/>
      <c r="D314" s="202" t="s">
        <v>140</v>
      </c>
      <c r="E314" s="199" t="s">
        <v>37</v>
      </c>
      <c r="F314" s="189">
        <v>51366.37</v>
      </c>
    </row>
    <row r="315" spans="1:6" ht="18" customHeight="1">
      <c r="A315" s="122"/>
      <c r="B315" s="191">
        <f t="shared" si="8"/>
        <v>146334</v>
      </c>
      <c r="C315" s="192"/>
      <c r="D315" s="203" t="s">
        <v>220</v>
      </c>
      <c r="E315" s="199" t="s">
        <v>64</v>
      </c>
      <c r="F315" s="189">
        <v>0</v>
      </c>
    </row>
    <row r="316" spans="1:6" ht="18" customHeight="1">
      <c r="A316" s="122"/>
      <c r="B316" s="191">
        <f>B233+F316</f>
        <v>49500</v>
      </c>
      <c r="C316" s="192"/>
      <c r="D316" s="203" t="s">
        <v>246</v>
      </c>
      <c r="E316" s="199" t="s">
        <v>64</v>
      </c>
      <c r="F316" s="189">
        <v>0</v>
      </c>
    </row>
    <row r="317" spans="1:6" ht="18" customHeight="1">
      <c r="A317" s="122"/>
      <c r="B317" s="191">
        <f>B234+F317</f>
        <v>40000</v>
      </c>
      <c r="C317" s="192"/>
      <c r="D317" s="203" t="s">
        <v>235</v>
      </c>
      <c r="E317" s="199" t="s">
        <v>64</v>
      </c>
      <c r="F317" s="189"/>
    </row>
    <row r="318" spans="1:6" ht="18" customHeight="1">
      <c r="A318" s="122"/>
      <c r="B318" s="191">
        <f>F318</f>
        <v>35647.85</v>
      </c>
      <c r="C318" s="192"/>
      <c r="D318" s="203" t="s">
        <v>245</v>
      </c>
      <c r="E318" s="199" t="s">
        <v>64</v>
      </c>
      <c r="F318" s="189">
        <v>35647.85</v>
      </c>
    </row>
    <row r="319" spans="1:6" ht="18" customHeight="1">
      <c r="A319" s="122"/>
      <c r="B319" s="129">
        <v>48146</v>
      </c>
      <c r="C319" s="193"/>
      <c r="D319" s="203" t="s">
        <v>247</v>
      </c>
      <c r="E319" s="199" t="s">
        <v>64</v>
      </c>
      <c r="F319" s="124">
        <v>48146</v>
      </c>
    </row>
    <row r="320" spans="1:6" ht="18.75" customHeight="1">
      <c r="A320" s="122"/>
      <c r="B320" s="131">
        <f>SUM(B309:B319)</f>
        <v>5628209.2299999995</v>
      </c>
      <c r="C320" s="125"/>
      <c r="D320" s="122"/>
      <c r="E320" s="132"/>
      <c r="F320" s="131">
        <f>SUM(F309:F319)</f>
        <v>711160.22</v>
      </c>
    </row>
    <row r="321" spans="1:6" ht="18.75" customHeight="1">
      <c r="A321" s="122"/>
      <c r="B321" s="131">
        <f>B308+B320</f>
        <v>23276932.19</v>
      </c>
      <c r="C321" s="125"/>
      <c r="D321" s="133" t="s">
        <v>72</v>
      </c>
      <c r="E321" s="132"/>
      <c r="F321" s="131">
        <f>F308+F320</f>
        <v>4041634.96</v>
      </c>
    </row>
    <row r="322" spans="1:6" ht="18.75" customHeight="1">
      <c r="A322" s="122"/>
      <c r="B322" s="134">
        <f>IF(B273&gt;B321,(B273-B321)," ")</f>
        <v>2549906.709999997</v>
      </c>
      <c r="C322" s="125"/>
      <c r="D322" s="133" t="s">
        <v>73</v>
      </c>
      <c r="E322" s="132"/>
      <c r="F322" s="134" t="str">
        <f>IF(F273&gt;F321,(F273-F321)," ")</f>
        <v> </v>
      </c>
    </row>
    <row r="323" spans="1:6" ht="14.25" customHeight="1">
      <c r="A323" s="122"/>
      <c r="B323" s="124"/>
      <c r="C323" s="125"/>
      <c r="D323" s="133" t="s">
        <v>74</v>
      </c>
      <c r="E323" s="132"/>
      <c r="F323" s="124"/>
    </row>
    <row r="324" spans="1:8" ht="16.5" customHeight="1">
      <c r="A324" s="122"/>
      <c r="B324" s="135" t="str">
        <f>IF(B273&lt;B321,(B321-B273)," ")</f>
        <v> </v>
      </c>
      <c r="C324" s="125"/>
      <c r="D324" s="133" t="s">
        <v>75</v>
      </c>
      <c r="E324" s="132"/>
      <c r="F324" s="135">
        <f>IF(F273&lt;F321,(F321-F273)," ")</f>
        <v>2941200.48</v>
      </c>
      <c r="H324" s="57">
        <f>F325-B325</f>
        <v>-0.5499999970197678</v>
      </c>
    </row>
    <row r="325" spans="1:8" ht="18.75" customHeight="1" thickBot="1">
      <c r="A325" s="122"/>
      <c r="B325" s="136">
        <f>IF(B322=" ",(B254-B324),(B254+B322))</f>
        <v>11883456.299999997</v>
      </c>
      <c r="C325" s="125"/>
      <c r="D325" s="137" t="s">
        <v>76</v>
      </c>
      <c r="E325" s="132"/>
      <c r="F325" s="136">
        <f>IF(F322=" ",(F254-F324),(F254+F322))</f>
        <v>11883455.75</v>
      </c>
      <c r="H325" s="57">
        <f>12017343.9</f>
        <v>12017343.9</v>
      </c>
    </row>
    <row r="326" spans="2:8" ht="18.75" customHeight="1" thickTop="1">
      <c r="B326" s="59"/>
      <c r="C326" s="56"/>
      <c r="D326" s="48"/>
      <c r="E326" s="60"/>
      <c r="F326" s="59"/>
      <c r="H326" s="57"/>
    </row>
    <row r="327" spans="1:8" ht="20.25" customHeight="1">
      <c r="A327" s="235" t="s">
        <v>226</v>
      </c>
      <c r="B327" s="235"/>
      <c r="C327" s="235"/>
      <c r="D327" s="235"/>
      <c r="E327" s="235"/>
      <c r="F327" s="235"/>
      <c r="G327" s="235"/>
      <c r="H327" s="235"/>
    </row>
    <row r="328" spans="1:8" ht="20.25" customHeight="1">
      <c r="A328" s="235" t="s">
        <v>257</v>
      </c>
      <c r="B328" s="235"/>
      <c r="C328" s="235"/>
      <c r="D328" s="235"/>
      <c r="E328" s="235"/>
      <c r="F328" s="235"/>
      <c r="G328" s="235"/>
      <c r="H328" s="235"/>
    </row>
    <row r="329" spans="1:8" ht="19.5" customHeight="1">
      <c r="A329" s="228" t="s">
        <v>228</v>
      </c>
      <c r="B329" s="228"/>
      <c r="C329" s="228"/>
      <c r="D329" s="228"/>
      <c r="E329" s="228"/>
      <c r="F329" s="228"/>
      <c r="G329" s="228"/>
      <c r="H329" s="228"/>
    </row>
  </sheetData>
  <mergeCells count="37">
    <mergeCell ref="A79:H79"/>
    <mergeCell ref="A80:H80"/>
    <mergeCell ref="A81:H81"/>
    <mergeCell ref="A39:B39"/>
    <mergeCell ref="A6:B6"/>
    <mergeCell ref="A1:F1"/>
    <mergeCell ref="A2:F2"/>
    <mergeCell ref="A4:F4"/>
    <mergeCell ref="D5:F5"/>
    <mergeCell ref="A201:B201"/>
    <mergeCell ref="A82:F82"/>
    <mergeCell ref="A83:F83"/>
    <mergeCell ref="A85:F85"/>
    <mergeCell ref="D86:F86"/>
    <mergeCell ref="A162:H162"/>
    <mergeCell ref="A87:B87"/>
    <mergeCell ref="A120:B120"/>
    <mergeCell ref="A160:H160"/>
    <mergeCell ref="A161:H161"/>
    <mergeCell ref="A163:F163"/>
    <mergeCell ref="A164:F164"/>
    <mergeCell ref="A166:F166"/>
    <mergeCell ref="D167:F167"/>
    <mergeCell ref="A168:B168"/>
    <mergeCell ref="A243:H243"/>
    <mergeCell ref="A244:H244"/>
    <mergeCell ref="A245:H245"/>
    <mergeCell ref="A246:F246"/>
    <mergeCell ref="A247:F247"/>
    <mergeCell ref="A249:F249"/>
    <mergeCell ref="D250:F250"/>
    <mergeCell ref="A329:H329"/>
    <mergeCell ref="D285:D286"/>
    <mergeCell ref="A251:B251"/>
    <mergeCell ref="A284:B284"/>
    <mergeCell ref="A327:H327"/>
    <mergeCell ref="A328:H328"/>
  </mergeCells>
  <printOptions/>
  <pageMargins left="0.42" right="0.12" top="0.18" bottom="0.46" header="0.16" footer="0.4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7"/>
  </sheetPr>
  <dimension ref="A1:K146"/>
  <sheetViews>
    <sheetView showGridLines="0" view="pageBreakPreview" zoomScaleSheetLayoutView="100" workbookViewId="0" topLeftCell="A97">
      <selection activeCell="H154" sqref="H154"/>
    </sheetView>
  </sheetViews>
  <sheetFormatPr defaultColWidth="9.140625" defaultRowHeight="21.75"/>
  <cols>
    <col min="1" max="1" width="2.28125" style="18" customWidth="1"/>
    <col min="2" max="5" width="9.140625" style="18" customWidth="1"/>
    <col min="6" max="6" width="5.8515625" style="18" customWidth="1"/>
    <col min="7" max="7" width="2.28125" style="18" customWidth="1"/>
    <col min="8" max="11" width="14.00390625" style="18" customWidth="1"/>
    <col min="12" max="16384" width="9.140625" style="18" customWidth="1"/>
  </cols>
  <sheetData>
    <row r="1" spans="1:11" ht="24" customHeight="1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24" customHeight="1">
      <c r="A2" s="227" t="s">
        <v>94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1" ht="24" customHeight="1">
      <c r="A3" s="227" t="s">
        <v>132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ht="24" customHeight="1"/>
    <row r="5" spans="1:10" ht="25.5" customHeight="1">
      <c r="A5" s="16" t="s">
        <v>199</v>
      </c>
      <c r="J5" s="18" t="str">
        <f>A3</f>
        <v>ณ วันที่  30  มิถุนายน  2552</v>
      </c>
    </row>
    <row r="6" ht="17.25" customHeight="1">
      <c r="A6" s="16"/>
    </row>
    <row r="7" spans="1:11" ht="21">
      <c r="A7" s="19"/>
      <c r="B7" s="224" t="s">
        <v>116</v>
      </c>
      <c r="C7" s="222"/>
      <c r="D7" s="222"/>
      <c r="E7" s="222"/>
      <c r="F7" s="222"/>
      <c r="G7" s="222"/>
      <c r="H7" s="194"/>
      <c r="I7" s="23" t="s">
        <v>48</v>
      </c>
      <c r="J7" s="26" t="s">
        <v>85</v>
      </c>
      <c r="K7" s="25" t="s">
        <v>93</v>
      </c>
    </row>
    <row r="8" spans="2:11" ht="29.25" customHeight="1">
      <c r="B8" s="141" t="s">
        <v>204</v>
      </c>
      <c r="C8" s="22"/>
      <c r="D8" s="22"/>
      <c r="E8" s="22"/>
      <c r="F8" s="22"/>
      <c r="G8" s="22"/>
      <c r="H8" s="37"/>
      <c r="I8" s="32"/>
      <c r="J8" s="27"/>
      <c r="K8" s="33"/>
    </row>
    <row r="9" spans="2:11" ht="21">
      <c r="B9" s="79" t="s">
        <v>205</v>
      </c>
      <c r="C9" s="22"/>
      <c r="D9" s="22"/>
      <c r="E9" s="22"/>
      <c r="F9" s="22"/>
      <c r="G9" s="22"/>
      <c r="H9" s="37"/>
      <c r="I9" s="32">
        <v>93200</v>
      </c>
      <c r="J9" s="27">
        <v>0</v>
      </c>
      <c r="K9" s="33">
        <f>I9-J9</f>
        <v>93200</v>
      </c>
    </row>
    <row r="10" spans="2:11" ht="21">
      <c r="B10" s="79" t="s">
        <v>206</v>
      </c>
      <c r="C10" s="22"/>
      <c r="D10" s="22"/>
      <c r="E10" s="22"/>
      <c r="F10" s="22"/>
      <c r="G10" s="22"/>
      <c r="H10" s="37"/>
      <c r="I10" s="32">
        <v>23490</v>
      </c>
      <c r="J10" s="27">
        <v>0</v>
      </c>
      <c r="K10" s="33">
        <f>I10-J10</f>
        <v>23490</v>
      </c>
    </row>
    <row r="11" spans="2:11" ht="27" customHeight="1">
      <c r="B11" s="141" t="s">
        <v>207</v>
      </c>
      <c r="C11" s="22"/>
      <c r="D11" s="22"/>
      <c r="E11" s="22"/>
      <c r="F11" s="22"/>
      <c r="G11" s="22"/>
      <c r="H11" s="37"/>
      <c r="I11" s="32"/>
      <c r="J11" s="36"/>
      <c r="K11" s="33"/>
    </row>
    <row r="12" spans="2:11" ht="21">
      <c r="B12" s="79" t="s">
        <v>208</v>
      </c>
      <c r="C12" s="22"/>
      <c r="D12" s="22"/>
      <c r="E12" s="22"/>
      <c r="F12" s="22"/>
      <c r="G12" s="22"/>
      <c r="H12" s="37"/>
      <c r="I12" s="32">
        <v>0</v>
      </c>
      <c r="J12" s="27">
        <v>0</v>
      </c>
      <c r="K12" s="33">
        <v>0</v>
      </c>
    </row>
    <row r="13" spans="2:11" ht="21">
      <c r="B13" s="79" t="s">
        <v>209</v>
      </c>
      <c r="C13" s="22"/>
      <c r="D13" s="22"/>
      <c r="E13" s="22"/>
      <c r="F13" s="22"/>
      <c r="G13" s="22"/>
      <c r="H13" s="37"/>
      <c r="I13" s="32">
        <v>0</v>
      </c>
      <c r="J13" s="27">
        <v>0</v>
      </c>
      <c r="K13" s="33">
        <v>0</v>
      </c>
    </row>
    <row r="14" spans="2:11" ht="15.75" customHeight="1">
      <c r="B14" s="38"/>
      <c r="C14" s="39"/>
      <c r="D14" s="39"/>
      <c r="E14" s="39"/>
      <c r="F14" s="39"/>
      <c r="G14" s="39"/>
      <c r="H14" s="40"/>
      <c r="I14" s="34"/>
      <c r="J14" s="28"/>
      <c r="K14" s="35"/>
    </row>
    <row r="15" spans="6:11" ht="25.5" customHeight="1" thickBot="1">
      <c r="F15" s="18" t="s">
        <v>82</v>
      </c>
      <c r="I15" s="29">
        <f>SUM(I8:I14)</f>
        <v>116690</v>
      </c>
      <c r="J15" s="30">
        <f>SUM(J8:J14)</f>
        <v>0</v>
      </c>
      <c r="K15" s="30">
        <f>SUM(K8:K14)</f>
        <v>116690</v>
      </c>
    </row>
    <row r="16" spans="9:11" ht="21.75" thickTop="1">
      <c r="I16" s="20"/>
      <c r="J16" s="20"/>
      <c r="K16" s="20"/>
    </row>
    <row r="18" spans="1:10" ht="23.25">
      <c r="A18" s="16" t="s">
        <v>200</v>
      </c>
      <c r="H18" s="17"/>
      <c r="J18" s="18" t="str">
        <f>A3</f>
        <v>ณ วันที่  30  มิถุนายน  2552</v>
      </c>
    </row>
    <row r="19" spans="1:8" ht="12.75" customHeight="1">
      <c r="A19" s="16"/>
      <c r="H19" s="17"/>
    </row>
    <row r="20" spans="1:11" ht="21">
      <c r="A20" s="19"/>
      <c r="B20" s="224" t="s">
        <v>116</v>
      </c>
      <c r="C20" s="222"/>
      <c r="D20" s="222"/>
      <c r="E20" s="222"/>
      <c r="F20" s="222"/>
      <c r="G20" s="194"/>
      <c r="H20" s="26" t="s">
        <v>48</v>
      </c>
      <c r="I20" s="24" t="s">
        <v>84</v>
      </c>
      <c r="J20" s="26" t="s">
        <v>85</v>
      </c>
      <c r="K20" s="26" t="s">
        <v>93</v>
      </c>
    </row>
    <row r="21" spans="2:11" ht="26.25" customHeight="1">
      <c r="B21" s="79" t="s">
        <v>77</v>
      </c>
      <c r="C21" s="22"/>
      <c r="D21" s="22"/>
      <c r="E21" s="22"/>
      <c r="F21" s="22"/>
      <c r="G21" s="37"/>
      <c r="H21" s="27">
        <v>10973.52</v>
      </c>
      <c r="I21" s="21">
        <v>2308.66</v>
      </c>
      <c r="J21" s="27">
        <v>10973.52</v>
      </c>
      <c r="K21" s="27">
        <f>H21+I21-J21</f>
        <v>2308.66</v>
      </c>
    </row>
    <row r="22" spans="2:11" ht="21">
      <c r="B22" s="79" t="s">
        <v>78</v>
      </c>
      <c r="C22" s="22"/>
      <c r="D22" s="22"/>
      <c r="E22" s="22"/>
      <c r="F22" s="22"/>
      <c r="G22" s="37"/>
      <c r="H22" s="27">
        <v>168815</v>
      </c>
      <c r="I22" s="21">
        <v>0</v>
      </c>
      <c r="J22" s="27">
        <v>11950</v>
      </c>
      <c r="K22" s="27">
        <f aca="true" t="shared" si="0" ref="K22:K27">H22+I22-J22</f>
        <v>156865</v>
      </c>
    </row>
    <row r="23" spans="2:11" ht="21">
      <c r="B23" s="79" t="s">
        <v>79</v>
      </c>
      <c r="C23" s="22"/>
      <c r="D23" s="22"/>
      <c r="E23" s="22"/>
      <c r="F23" s="22"/>
      <c r="G23" s="37"/>
      <c r="H23" s="27">
        <v>600.7</v>
      </c>
      <c r="I23" s="21">
        <v>225.35</v>
      </c>
      <c r="J23" s="27">
        <v>0</v>
      </c>
      <c r="K23" s="27">
        <f t="shared" si="0"/>
        <v>826.0500000000001</v>
      </c>
    </row>
    <row r="24" spans="2:11" ht="21">
      <c r="B24" s="79" t="s">
        <v>80</v>
      </c>
      <c r="C24" s="22"/>
      <c r="D24" s="22"/>
      <c r="E24" s="22"/>
      <c r="F24" s="22"/>
      <c r="G24" s="37"/>
      <c r="H24" s="27">
        <v>720.84</v>
      </c>
      <c r="I24" s="21">
        <v>270.42</v>
      </c>
      <c r="J24" s="27">
        <v>0</v>
      </c>
      <c r="K24" s="27">
        <f t="shared" si="0"/>
        <v>991.26</v>
      </c>
    </row>
    <row r="25" spans="2:11" ht="21">
      <c r="B25" s="79" t="s">
        <v>81</v>
      </c>
      <c r="C25" s="22"/>
      <c r="D25" s="22"/>
      <c r="E25" s="22"/>
      <c r="F25" s="22"/>
      <c r="G25" s="37"/>
      <c r="H25" s="27">
        <v>178112.07</v>
      </c>
      <c r="I25" s="21">
        <v>12000</v>
      </c>
      <c r="J25" s="27">
        <v>0</v>
      </c>
      <c r="K25" s="27">
        <f t="shared" si="0"/>
        <v>190112.07</v>
      </c>
    </row>
    <row r="26" spans="2:11" ht="21">
      <c r="B26" s="79" t="s">
        <v>133</v>
      </c>
      <c r="C26" s="22"/>
      <c r="D26" s="22"/>
      <c r="E26" s="22"/>
      <c r="F26" s="22"/>
      <c r="G26" s="37"/>
      <c r="H26" s="27">
        <v>0</v>
      </c>
      <c r="I26" s="21">
        <v>235</v>
      </c>
      <c r="J26" s="27">
        <v>235</v>
      </c>
      <c r="K26" s="27">
        <f t="shared" si="0"/>
        <v>0</v>
      </c>
    </row>
    <row r="27" spans="2:11" ht="21">
      <c r="B27" s="79" t="s">
        <v>134</v>
      </c>
      <c r="C27" s="22"/>
      <c r="D27" s="22"/>
      <c r="E27" s="22"/>
      <c r="F27" s="22"/>
      <c r="G27" s="37"/>
      <c r="H27" s="27">
        <v>1989.25</v>
      </c>
      <c r="I27" s="21">
        <v>0</v>
      </c>
      <c r="J27" s="27">
        <v>0</v>
      </c>
      <c r="K27" s="27">
        <f t="shared" si="0"/>
        <v>1989.25</v>
      </c>
    </row>
    <row r="28" spans="2:11" ht="21">
      <c r="B28" s="38"/>
      <c r="C28" s="39"/>
      <c r="D28" s="39"/>
      <c r="E28" s="39"/>
      <c r="F28" s="39"/>
      <c r="G28" s="40"/>
      <c r="H28" s="28"/>
      <c r="I28" s="21"/>
      <c r="J28" s="28"/>
      <c r="K28" s="27"/>
    </row>
    <row r="29" spans="6:11" ht="24.75" customHeight="1" thickBot="1">
      <c r="F29" s="18" t="s">
        <v>82</v>
      </c>
      <c r="H29" s="30">
        <f>SUM(H21:H28)</f>
        <v>361211.38</v>
      </c>
      <c r="I29" s="30">
        <f>SUM(I21:I28)</f>
        <v>15039.43</v>
      </c>
      <c r="J29" s="31">
        <f>SUM(J21:J28)</f>
        <v>23158.52</v>
      </c>
      <c r="K29" s="30">
        <f>SUM(K21:K28)</f>
        <v>353092.29000000004</v>
      </c>
    </row>
    <row r="30" spans="8:11" ht="21.75" thickTop="1">
      <c r="H30" s="20"/>
      <c r="I30" s="20"/>
      <c r="J30" s="20"/>
      <c r="K30" s="20"/>
    </row>
    <row r="32" ht="16.5" customHeight="1"/>
    <row r="33" spans="1:11" ht="23.25" customHeight="1">
      <c r="A33" s="195" t="s">
        <v>195</v>
      </c>
      <c r="B33" s="195"/>
      <c r="C33" s="195"/>
      <c r="D33" s="195"/>
      <c r="E33" s="195"/>
      <c r="F33" s="195"/>
      <c r="G33" s="195"/>
      <c r="H33" s="195"/>
      <c r="I33" s="195"/>
      <c r="J33" s="195"/>
      <c r="K33" s="195"/>
    </row>
    <row r="34" spans="1:11" ht="24" customHeight="1">
      <c r="A34" s="196" t="s">
        <v>210</v>
      </c>
      <c r="B34" s="196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1:11" ht="18.75" customHeight="1">
      <c r="A35" s="196" t="s">
        <v>196</v>
      </c>
      <c r="B35" s="196"/>
      <c r="C35" s="196"/>
      <c r="D35" s="196"/>
      <c r="E35" s="196"/>
      <c r="F35" s="18" t="s">
        <v>197</v>
      </c>
      <c r="J35" s="196" t="s">
        <v>198</v>
      </c>
      <c r="K35" s="196"/>
    </row>
    <row r="38" spans="1:11" ht="24" customHeight="1">
      <c r="A38" s="227" t="s">
        <v>0</v>
      </c>
      <c r="B38" s="227"/>
      <c r="C38" s="227"/>
      <c r="D38" s="227"/>
      <c r="E38" s="227"/>
      <c r="F38" s="227"/>
      <c r="G38" s="227"/>
      <c r="H38" s="227"/>
      <c r="I38" s="227"/>
      <c r="J38" s="227"/>
      <c r="K38" s="227"/>
    </row>
    <row r="39" spans="1:11" ht="24" customHeight="1">
      <c r="A39" s="227" t="s">
        <v>94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</row>
    <row r="40" spans="1:11" ht="24" customHeight="1">
      <c r="A40" s="227" t="s">
        <v>215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</row>
    <row r="41" ht="24" customHeight="1"/>
    <row r="42" spans="1:10" ht="25.5" customHeight="1">
      <c r="A42" s="16" t="s">
        <v>199</v>
      </c>
      <c r="J42" s="18" t="str">
        <f>A40</f>
        <v>ณ วันที่  31 กรกฎาคม  2552</v>
      </c>
    </row>
    <row r="43" ht="17.25" customHeight="1">
      <c r="A43" s="16"/>
    </row>
    <row r="44" spans="1:11" ht="21">
      <c r="A44" s="19"/>
      <c r="B44" s="224" t="s">
        <v>116</v>
      </c>
      <c r="C44" s="222"/>
      <c r="D44" s="222"/>
      <c r="E44" s="222"/>
      <c r="F44" s="222"/>
      <c r="G44" s="222"/>
      <c r="H44" s="194"/>
      <c r="I44" s="23" t="s">
        <v>48</v>
      </c>
      <c r="J44" s="26" t="s">
        <v>85</v>
      </c>
      <c r="K44" s="25" t="s">
        <v>93</v>
      </c>
    </row>
    <row r="45" spans="2:11" ht="29.25" customHeight="1">
      <c r="B45" s="141" t="s">
        <v>204</v>
      </c>
      <c r="C45" s="22"/>
      <c r="D45" s="22"/>
      <c r="E45" s="22"/>
      <c r="F45" s="22"/>
      <c r="G45" s="22"/>
      <c r="H45" s="37"/>
      <c r="I45" s="32"/>
      <c r="J45" s="27"/>
      <c r="K45" s="33"/>
    </row>
    <row r="46" spans="2:11" ht="21">
      <c r="B46" s="79" t="s">
        <v>205</v>
      </c>
      <c r="C46" s="22"/>
      <c r="D46" s="22"/>
      <c r="E46" s="22"/>
      <c r="F46" s="22"/>
      <c r="G46" s="22"/>
      <c r="H46" s="37"/>
      <c r="I46" s="32">
        <v>93200</v>
      </c>
      <c r="J46" s="27">
        <v>0</v>
      </c>
      <c r="K46" s="33">
        <f>I46-J46</f>
        <v>93200</v>
      </c>
    </row>
    <row r="47" spans="2:11" ht="21">
      <c r="B47" s="79" t="s">
        <v>206</v>
      </c>
      <c r="C47" s="22"/>
      <c r="D47" s="22"/>
      <c r="E47" s="22"/>
      <c r="F47" s="22"/>
      <c r="G47" s="22"/>
      <c r="H47" s="37"/>
      <c r="I47" s="32">
        <v>23490</v>
      </c>
      <c r="J47" s="27">
        <v>0</v>
      </c>
      <c r="K47" s="33">
        <f>I47-J47</f>
        <v>23490</v>
      </c>
    </row>
    <row r="48" spans="2:11" ht="27" customHeight="1">
      <c r="B48" s="141" t="s">
        <v>207</v>
      </c>
      <c r="C48" s="22"/>
      <c r="D48" s="22"/>
      <c r="E48" s="22"/>
      <c r="F48" s="22"/>
      <c r="G48" s="22"/>
      <c r="H48" s="37"/>
      <c r="I48" s="32"/>
      <c r="J48" s="36"/>
      <c r="K48" s="33"/>
    </row>
    <row r="49" spans="2:11" ht="21">
      <c r="B49" s="79" t="s">
        <v>208</v>
      </c>
      <c r="C49" s="22"/>
      <c r="D49" s="22"/>
      <c r="E49" s="22"/>
      <c r="F49" s="22"/>
      <c r="G49" s="22"/>
      <c r="H49" s="37"/>
      <c r="I49" s="32">
        <v>0</v>
      </c>
      <c r="J49" s="27">
        <v>0</v>
      </c>
      <c r="K49" s="33">
        <v>0</v>
      </c>
    </row>
    <row r="50" spans="2:11" ht="21">
      <c r="B50" s="79" t="s">
        <v>209</v>
      </c>
      <c r="C50" s="22"/>
      <c r="D50" s="22"/>
      <c r="E50" s="22"/>
      <c r="F50" s="22"/>
      <c r="G50" s="22"/>
      <c r="H50" s="37"/>
      <c r="I50" s="32">
        <v>0</v>
      </c>
      <c r="J50" s="27">
        <v>0</v>
      </c>
      <c r="K50" s="33">
        <v>0</v>
      </c>
    </row>
    <row r="51" spans="2:11" ht="15.75" customHeight="1">
      <c r="B51" s="38"/>
      <c r="C51" s="39"/>
      <c r="D51" s="39"/>
      <c r="E51" s="39"/>
      <c r="F51" s="39"/>
      <c r="G51" s="39"/>
      <c r="H51" s="40"/>
      <c r="I51" s="34"/>
      <c r="J51" s="28"/>
      <c r="K51" s="35"/>
    </row>
    <row r="52" spans="6:11" ht="25.5" customHeight="1" thickBot="1">
      <c r="F52" s="18" t="s">
        <v>82</v>
      </c>
      <c r="I52" s="29">
        <f>SUM(I45:I51)</f>
        <v>116690</v>
      </c>
      <c r="J52" s="30">
        <f>SUM(J45:J51)</f>
        <v>0</v>
      </c>
      <c r="K52" s="30">
        <f>SUM(K45:K51)</f>
        <v>116690</v>
      </c>
    </row>
    <row r="53" spans="9:11" ht="21.75" thickTop="1">
      <c r="I53" s="20"/>
      <c r="J53" s="20"/>
      <c r="K53" s="20"/>
    </row>
    <row r="55" spans="1:10" ht="23.25">
      <c r="A55" s="16" t="s">
        <v>200</v>
      </c>
      <c r="H55" s="17"/>
      <c r="J55" s="18" t="str">
        <f>A40</f>
        <v>ณ วันที่  31 กรกฎาคม  2552</v>
      </c>
    </row>
    <row r="56" spans="1:8" ht="12.75" customHeight="1">
      <c r="A56" s="16"/>
      <c r="H56" s="17"/>
    </row>
    <row r="57" spans="1:11" ht="21">
      <c r="A57" s="19"/>
      <c r="B57" s="224" t="s">
        <v>116</v>
      </c>
      <c r="C57" s="222"/>
      <c r="D57" s="222"/>
      <c r="E57" s="222"/>
      <c r="F57" s="222"/>
      <c r="G57" s="194"/>
      <c r="H57" s="26" t="s">
        <v>48</v>
      </c>
      <c r="I57" s="24" t="s">
        <v>84</v>
      </c>
      <c r="J57" s="26" t="s">
        <v>85</v>
      </c>
      <c r="K57" s="26" t="s">
        <v>93</v>
      </c>
    </row>
    <row r="58" spans="2:11" ht="26.25" customHeight="1">
      <c r="B58" s="79" t="s">
        <v>77</v>
      </c>
      <c r="C58" s="22"/>
      <c r="D58" s="22"/>
      <c r="E58" s="22"/>
      <c r="F58" s="22"/>
      <c r="G58" s="37"/>
      <c r="H58" s="27">
        <v>2308.66</v>
      </c>
      <c r="I58" s="21">
        <v>8117.19</v>
      </c>
      <c r="J58" s="27">
        <v>2308.66</v>
      </c>
      <c r="K58" s="27">
        <f>H58+I58-J58</f>
        <v>8117.189999999999</v>
      </c>
    </row>
    <row r="59" spans="2:11" ht="21">
      <c r="B59" s="79" t="s">
        <v>78</v>
      </c>
      <c r="C59" s="22"/>
      <c r="D59" s="22"/>
      <c r="E59" s="22"/>
      <c r="F59" s="22"/>
      <c r="G59" s="37"/>
      <c r="H59" s="27">
        <v>156865</v>
      </c>
      <c r="I59" s="21">
        <v>0</v>
      </c>
      <c r="J59" s="27">
        <v>1800</v>
      </c>
      <c r="K59" s="27">
        <f aca="true" t="shared" si="1" ref="K59:K64">H59+I59-J59</f>
        <v>155065</v>
      </c>
    </row>
    <row r="60" spans="2:11" ht="21">
      <c r="B60" s="79" t="s">
        <v>79</v>
      </c>
      <c r="C60" s="22"/>
      <c r="D60" s="22"/>
      <c r="E60" s="22"/>
      <c r="F60" s="22"/>
      <c r="G60" s="37"/>
      <c r="H60" s="27">
        <v>826.05</v>
      </c>
      <c r="I60" s="21">
        <v>37.8</v>
      </c>
      <c r="J60" s="27">
        <v>0</v>
      </c>
      <c r="K60" s="27">
        <f t="shared" si="1"/>
        <v>863.8499999999999</v>
      </c>
    </row>
    <row r="61" spans="2:11" ht="21">
      <c r="B61" s="79" t="s">
        <v>80</v>
      </c>
      <c r="C61" s="22"/>
      <c r="D61" s="22"/>
      <c r="E61" s="22"/>
      <c r="F61" s="22"/>
      <c r="G61" s="37"/>
      <c r="H61" s="27">
        <v>991.26</v>
      </c>
      <c r="I61" s="21">
        <v>45.36</v>
      </c>
      <c r="J61" s="27">
        <v>0</v>
      </c>
      <c r="K61" s="27">
        <f t="shared" si="1"/>
        <v>1036.62</v>
      </c>
    </row>
    <row r="62" spans="2:11" ht="21">
      <c r="B62" s="79" t="s">
        <v>81</v>
      </c>
      <c r="C62" s="22"/>
      <c r="D62" s="22"/>
      <c r="E62" s="22"/>
      <c r="F62" s="22"/>
      <c r="G62" s="37"/>
      <c r="H62" s="27">
        <v>190112.07</v>
      </c>
      <c r="I62" s="21">
        <v>96000</v>
      </c>
      <c r="J62" s="27">
        <v>0</v>
      </c>
      <c r="K62" s="27">
        <f t="shared" si="1"/>
        <v>286112.07</v>
      </c>
    </row>
    <row r="63" spans="2:11" ht="21">
      <c r="B63" s="79" t="s">
        <v>133</v>
      </c>
      <c r="C63" s="22"/>
      <c r="D63" s="22"/>
      <c r="E63" s="22"/>
      <c r="F63" s="22"/>
      <c r="G63" s="37"/>
      <c r="H63" s="27">
        <v>0</v>
      </c>
      <c r="I63" s="21">
        <v>235</v>
      </c>
      <c r="J63" s="27">
        <v>235</v>
      </c>
      <c r="K63" s="27">
        <f t="shared" si="1"/>
        <v>0</v>
      </c>
    </row>
    <row r="64" spans="2:11" ht="21">
      <c r="B64" s="79" t="s">
        <v>134</v>
      </c>
      <c r="C64" s="22"/>
      <c r="D64" s="22"/>
      <c r="E64" s="22"/>
      <c r="F64" s="22"/>
      <c r="G64" s="37"/>
      <c r="H64" s="27">
        <v>1989.25</v>
      </c>
      <c r="I64" s="21">
        <v>0</v>
      </c>
      <c r="J64" s="27">
        <v>0</v>
      </c>
      <c r="K64" s="27">
        <f t="shared" si="1"/>
        <v>1989.25</v>
      </c>
    </row>
    <row r="65" spans="2:11" ht="21">
      <c r="B65" s="38"/>
      <c r="C65" s="39"/>
      <c r="D65" s="39"/>
      <c r="E65" s="39"/>
      <c r="F65" s="39"/>
      <c r="G65" s="40"/>
      <c r="H65" s="28"/>
      <c r="I65" s="21"/>
      <c r="J65" s="28"/>
      <c r="K65" s="27"/>
    </row>
    <row r="66" spans="6:11" ht="24.75" customHeight="1" thickBot="1">
      <c r="F66" s="18" t="s">
        <v>82</v>
      </c>
      <c r="H66" s="30">
        <f>SUM(H58:H65)</f>
        <v>353092.29000000004</v>
      </c>
      <c r="I66" s="30">
        <f>SUM(I58:I65)</f>
        <v>104435.35</v>
      </c>
      <c r="J66" s="31">
        <f>SUM(J58:J65)</f>
        <v>4343.66</v>
      </c>
      <c r="K66" s="30">
        <f>SUM(K58:K65)</f>
        <v>453183.98</v>
      </c>
    </row>
    <row r="67" spans="8:11" ht="21.75" thickTop="1">
      <c r="H67" s="20"/>
      <c r="I67" s="20"/>
      <c r="J67" s="20"/>
      <c r="K67" s="20"/>
    </row>
    <row r="69" ht="16.5" customHeight="1"/>
    <row r="70" spans="1:11" ht="23.25" customHeight="1">
      <c r="A70" s="195" t="s">
        <v>216</v>
      </c>
      <c r="B70" s="195"/>
      <c r="C70" s="195"/>
      <c r="D70" s="195"/>
      <c r="E70" s="195"/>
      <c r="F70" s="195"/>
      <c r="G70" s="195"/>
      <c r="H70" s="195"/>
      <c r="I70" s="195"/>
      <c r="J70" s="195"/>
      <c r="K70" s="195"/>
    </row>
    <row r="71" spans="1:11" ht="24" customHeight="1">
      <c r="A71" s="196" t="s">
        <v>218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</row>
    <row r="72" spans="1:11" ht="18.75" customHeight="1">
      <c r="A72" s="196" t="s">
        <v>196</v>
      </c>
      <c r="B72" s="196"/>
      <c r="C72" s="196"/>
      <c r="D72" s="196"/>
      <c r="E72" s="196"/>
      <c r="F72" s="18" t="s">
        <v>219</v>
      </c>
      <c r="J72" s="196" t="s">
        <v>217</v>
      </c>
      <c r="K72" s="196"/>
    </row>
    <row r="75" spans="1:11" ht="24" customHeight="1">
      <c r="A75" s="227" t="s">
        <v>0</v>
      </c>
      <c r="B75" s="227"/>
      <c r="C75" s="227"/>
      <c r="D75" s="227"/>
      <c r="E75" s="227"/>
      <c r="F75" s="227"/>
      <c r="G75" s="227"/>
      <c r="H75" s="227"/>
      <c r="I75" s="227"/>
      <c r="J75" s="227"/>
      <c r="K75" s="227"/>
    </row>
    <row r="76" spans="1:11" ht="24" customHeight="1">
      <c r="A76" s="227" t="s">
        <v>94</v>
      </c>
      <c r="B76" s="227"/>
      <c r="C76" s="227"/>
      <c r="D76" s="227"/>
      <c r="E76" s="227"/>
      <c r="F76" s="227"/>
      <c r="G76" s="227"/>
      <c r="H76" s="227"/>
      <c r="I76" s="227"/>
      <c r="J76" s="227"/>
      <c r="K76" s="227"/>
    </row>
    <row r="77" spans="1:11" ht="24" customHeight="1">
      <c r="A77" s="227" t="s">
        <v>233</v>
      </c>
      <c r="B77" s="227"/>
      <c r="C77" s="227"/>
      <c r="D77" s="227"/>
      <c r="E77" s="227"/>
      <c r="F77" s="227"/>
      <c r="G77" s="227"/>
      <c r="H77" s="227"/>
      <c r="I77" s="227"/>
      <c r="J77" s="227"/>
      <c r="K77" s="227"/>
    </row>
    <row r="78" ht="24" customHeight="1"/>
    <row r="79" spans="1:10" ht="25.5" customHeight="1">
      <c r="A79" s="16" t="s">
        <v>199</v>
      </c>
      <c r="J79" s="18" t="str">
        <f>A77</f>
        <v>ณ วันที่  31 สิงหาคม  2552</v>
      </c>
    </row>
    <row r="80" ht="17.25" customHeight="1">
      <c r="A80" s="16"/>
    </row>
    <row r="81" spans="1:11" ht="21">
      <c r="A81" s="19"/>
      <c r="B81" s="224" t="s">
        <v>116</v>
      </c>
      <c r="C81" s="222"/>
      <c r="D81" s="222"/>
      <c r="E81" s="222"/>
      <c r="F81" s="222"/>
      <c r="G81" s="222"/>
      <c r="H81" s="194"/>
      <c r="I81" s="23" t="s">
        <v>48</v>
      </c>
      <c r="J81" s="26" t="s">
        <v>85</v>
      </c>
      <c r="K81" s="25" t="s">
        <v>93</v>
      </c>
    </row>
    <row r="82" spans="2:11" ht="29.25" customHeight="1">
      <c r="B82" s="141" t="s">
        <v>204</v>
      </c>
      <c r="C82" s="22"/>
      <c r="D82" s="22"/>
      <c r="E82" s="22"/>
      <c r="F82" s="22"/>
      <c r="G82" s="22"/>
      <c r="H82" s="37"/>
      <c r="I82" s="32"/>
      <c r="J82" s="27"/>
      <c r="K82" s="33"/>
    </row>
    <row r="83" spans="2:11" ht="21">
      <c r="B83" s="79" t="s">
        <v>205</v>
      </c>
      <c r="C83" s="22"/>
      <c r="D83" s="22"/>
      <c r="E83" s="22"/>
      <c r="F83" s="22"/>
      <c r="G83" s="22"/>
      <c r="H83" s="37"/>
      <c r="I83" s="32">
        <v>93200</v>
      </c>
      <c r="J83" s="27">
        <v>0</v>
      </c>
      <c r="K83" s="33">
        <f>I83-J83</f>
        <v>93200</v>
      </c>
    </row>
    <row r="84" spans="2:11" ht="21">
      <c r="B84" s="79" t="s">
        <v>206</v>
      </c>
      <c r="C84" s="22"/>
      <c r="D84" s="22"/>
      <c r="E84" s="22"/>
      <c r="F84" s="22"/>
      <c r="G84" s="22"/>
      <c r="H84" s="37"/>
      <c r="I84" s="32">
        <v>23490</v>
      </c>
      <c r="J84" s="27">
        <v>0</v>
      </c>
      <c r="K84" s="33">
        <f>I84-J84</f>
        <v>23490</v>
      </c>
    </row>
    <row r="85" spans="2:11" ht="27" customHeight="1">
      <c r="B85" s="141" t="s">
        <v>207</v>
      </c>
      <c r="C85" s="22"/>
      <c r="D85" s="22"/>
      <c r="E85" s="22"/>
      <c r="F85" s="22"/>
      <c r="G85" s="22"/>
      <c r="H85" s="37"/>
      <c r="I85" s="32"/>
      <c r="J85" s="36"/>
      <c r="K85" s="33"/>
    </row>
    <row r="86" spans="2:11" ht="21">
      <c r="B86" s="79" t="s">
        <v>208</v>
      </c>
      <c r="C86" s="22"/>
      <c r="D86" s="22"/>
      <c r="E86" s="22"/>
      <c r="F86" s="22"/>
      <c r="G86" s="22"/>
      <c r="H86" s="37"/>
      <c r="I86" s="32">
        <v>0</v>
      </c>
      <c r="J86" s="27">
        <v>0</v>
      </c>
      <c r="K86" s="33">
        <v>0</v>
      </c>
    </row>
    <row r="87" spans="2:11" ht="21">
      <c r="B87" s="79" t="s">
        <v>209</v>
      </c>
      <c r="C87" s="22"/>
      <c r="D87" s="22"/>
      <c r="E87" s="22"/>
      <c r="F87" s="22"/>
      <c r="G87" s="22"/>
      <c r="H87" s="37"/>
      <c r="I87" s="32">
        <v>0</v>
      </c>
      <c r="J87" s="27">
        <v>0</v>
      </c>
      <c r="K87" s="33">
        <v>0</v>
      </c>
    </row>
    <row r="88" spans="2:11" ht="15.75" customHeight="1">
      <c r="B88" s="38"/>
      <c r="C88" s="39"/>
      <c r="D88" s="39"/>
      <c r="E88" s="39"/>
      <c r="F88" s="39"/>
      <c r="G88" s="39"/>
      <c r="H88" s="40"/>
      <c r="I88" s="34"/>
      <c r="J88" s="28"/>
      <c r="K88" s="35"/>
    </row>
    <row r="89" spans="6:11" ht="25.5" customHeight="1" thickBot="1">
      <c r="F89" s="18" t="s">
        <v>82</v>
      </c>
      <c r="I89" s="29">
        <f>SUM(I82:I88)</f>
        <v>116690</v>
      </c>
      <c r="J89" s="30">
        <f>SUM(J82:J88)</f>
        <v>0</v>
      </c>
      <c r="K89" s="30">
        <f>SUM(K82:K88)</f>
        <v>116690</v>
      </c>
    </row>
    <row r="90" spans="9:11" ht="21.75" thickTop="1">
      <c r="I90" s="20"/>
      <c r="J90" s="20"/>
      <c r="K90" s="20"/>
    </row>
    <row r="92" spans="1:10" ht="23.25">
      <c r="A92" s="16" t="s">
        <v>200</v>
      </c>
      <c r="H92" s="17"/>
      <c r="J92" s="18" t="str">
        <f>A77</f>
        <v>ณ วันที่  31 สิงหาคม  2552</v>
      </c>
    </row>
    <row r="93" spans="1:8" ht="12.75" customHeight="1">
      <c r="A93" s="16"/>
      <c r="H93" s="17"/>
    </row>
    <row r="94" spans="1:11" ht="21">
      <c r="A94" s="19"/>
      <c r="B94" s="224" t="s">
        <v>116</v>
      </c>
      <c r="C94" s="222"/>
      <c r="D94" s="222"/>
      <c r="E94" s="222"/>
      <c r="F94" s="222"/>
      <c r="G94" s="194"/>
      <c r="H94" s="26" t="s">
        <v>48</v>
      </c>
      <c r="I94" s="24" t="s">
        <v>84</v>
      </c>
      <c r="J94" s="26" t="s">
        <v>85</v>
      </c>
      <c r="K94" s="26" t="s">
        <v>93</v>
      </c>
    </row>
    <row r="95" spans="2:11" ht="26.25" customHeight="1">
      <c r="B95" s="79" t="s">
        <v>77</v>
      </c>
      <c r="C95" s="22"/>
      <c r="D95" s="22"/>
      <c r="E95" s="22"/>
      <c r="F95" s="22"/>
      <c r="G95" s="37"/>
      <c r="H95" s="27">
        <f>+K58</f>
        <v>8117.189999999999</v>
      </c>
      <c r="I95" s="21">
        <v>4504.96</v>
      </c>
      <c r="J95" s="27">
        <v>8117.19</v>
      </c>
      <c r="K95" s="27">
        <f>H95+I95-J95</f>
        <v>4504.959999999998</v>
      </c>
    </row>
    <row r="96" spans="2:11" ht="21">
      <c r="B96" s="79" t="s">
        <v>78</v>
      </c>
      <c r="C96" s="22"/>
      <c r="D96" s="22"/>
      <c r="E96" s="22"/>
      <c r="F96" s="22"/>
      <c r="G96" s="37"/>
      <c r="H96" s="27">
        <f aca="true" t="shared" si="2" ref="H96:H101">+K59</f>
        <v>155065</v>
      </c>
      <c r="I96" s="21">
        <v>26050</v>
      </c>
      <c r="J96" s="27">
        <v>0</v>
      </c>
      <c r="K96" s="27">
        <f aca="true" t="shared" si="3" ref="K96:K101">H96+I96-J96</f>
        <v>181115</v>
      </c>
    </row>
    <row r="97" spans="2:11" ht="21">
      <c r="B97" s="79" t="s">
        <v>79</v>
      </c>
      <c r="C97" s="22"/>
      <c r="D97" s="22"/>
      <c r="E97" s="22"/>
      <c r="F97" s="22"/>
      <c r="G97" s="37"/>
      <c r="H97" s="27">
        <f t="shared" si="2"/>
        <v>863.8499999999999</v>
      </c>
      <c r="I97" s="21">
        <v>48.6</v>
      </c>
      <c r="J97" s="27">
        <v>0</v>
      </c>
      <c r="K97" s="27">
        <f t="shared" si="3"/>
        <v>912.4499999999999</v>
      </c>
    </row>
    <row r="98" spans="2:11" ht="21">
      <c r="B98" s="79" t="s">
        <v>80</v>
      </c>
      <c r="C98" s="22"/>
      <c r="D98" s="22"/>
      <c r="E98" s="22"/>
      <c r="F98" s="22"/>
      <c r="G98" s="37"/>
      <c r="H98" s="27">
        <f t="shared" si="2"/>
        <v>1036.62</v>
      </c>
      <c r="I98" s="21">
        <v>58.32</v>
      </c>
      <c r="J98" s="27">
        <v>0</v>
      </c>
      <c r="K98" s="27">
        <f t="shared" si="3"/>
        <v>1094.9399999999998</v>
      </c>
    </row>
    <row r="99" spans="2:11" ht="21">
      <c r="B99" s="79" t="s">
        <v>81</v>
      </c>
      <c r="C99" s="22"/>
      <c r="D99" s="22"/>
      <c r="E99" s="22"/>
      <c r="F99" s="22"/>
      <c r="G99" s="37"/>
      <c r="H99" s="27">
        <f t="shared" si="2"/>
        <v>286112.07</v>
      </c>
      <c r="I99" s="21">
        <v>0</v>
      </c>
      <c r="J99" s="27">
        <v>0</v>
      </c>
      <c r="K99" s="27">
        <f t="shared" si="3"/>
        <v>286112.07</v>
      </c>
    </row>
    <row r="100" spans="2:11" ht="21">
      <c r="B100" s="79" t="s">
        <v>133</v>
      </c>
      <c r="C100" s="22"/>
      <c r="D100" s="22"/>
      <c r="E100" s="22"/>
      <c r="F100" s="22"/>
      <c r="G100" s="37"/>
      <c r="H100" s="27">
        <f t="shared" si="2"/>
        <v>0</v>
      </c>
      <c r="I100" s="21">
        <v>235</v>
      </c>
      <c r="J100" s="27">
        <v>141</v>
      </c>
      <c r="K100" s="27">
        <f t="shared" si="3"/>
        <v>94</v>
      </c>
    </row>
    <row r="101" spans="2:11" ht="21">
      <c r="B101" s="79" t="s">
        <v>134</v>
      </c>
      <c r="C101" s="22"/>
      <c r="D101" s="22"/>
      <c r="E101" s="22"/>
      <c r="F101" s="22"/>
      <c r="G101" s="37"/>
      <c r="H101" s="27">
        <f t="shared" si="2"/>
        <v>1989.25</v>
      </c>
      <c r="I101" s="21">
        <v>0</v>
      </c>
      <c r="J101" s="27">
        <v>0</v>
      </c>
      <c r="K101" s="27">
        <f t="shared" si="3"/>
        <v>1989.25</v>
      </c>
    </row>
    <row r="102" spans="2:11" ht="21">
      <c r="B102" s="38"/>
      <c r="C102" s="39"/>
      <c r="D102" s="39"/>
      <c r="E102" s="39"/>
      <c r="F102" s="39"/>
      <c r="G102" s="40"/>
      <c r="H102" s="28"/>
      <c r="I102" s="21"/>
      <c r="J102" s="28"/>
      <c r="K102" s="27"/>
    </row>
    <row r="103" spans="6:11" ht="24.75" customHeight="1" thickBot="1">
      <c r="F103" s="18" t="s">
        <v>82</v>
      </c>
      <c r="H103" s="30">
        <f>SUM(H95:H102)</f>
        <v>453183.98</v>
      </c>
      <c r="I103" s="30">
        <f>SUM(I95:I102)</f>
        <v>30896.879999999997</v>
      </c>
      <c r="J103" s="31">
        <f>SUM(J95:J102)</f>
        <v>8258.189999999999</v>
      </c>
      <c r="K103" s="30">
        <f>SUM(K95:K102)</f>
        <v>475822.67000000004</v>
      </c>
    </row>
    <row r="104" spans="8:11" ht="21.75" thickTop="1">
      <c r="H104" s="20"/>
      <c r="I104" s="20"/>
      <c r="J104" s="20"/>
      <c r="K104" s="20"/>
    </row>
    <row r="106" ht="16.5" customHeight="1"/>
    <row r="107" spans="1:11" ht="23.25" customHeight="1">
      <c r="A107" s="195" t="s">
        <v>216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</row>
    <row r="108" spans="1:11" ht="24" customHeight="1">
      <c r="A108" s="196" t="s">
        <v>218</v>
      </c>
      <c r="B108" s="196"/>
      <c r="C108" s="196"/>
      <c r="D108" s="196"/>
      <c r="E108" s="196"/>
      <c r="F108" s="196"/>
      <c r="G108" s="196"/>
      <c r="H108" s="196"/>
      <c r="I108" s="196"/>
      <c r="J108" s="196"/>
      <c r="K108" s="196"/>
    </row>
    <row r="109" spans="1:11" ht="18.75" customHeight="1">
      <c r="A109" s="196" t="s">
        <v>196</v>
      </c>
      <c r="B109" s="196"/>
      <c r="C109" s="196"/>
      <c r="D109" s="196"/>
      <c r="E109" s="196"/>
      <c r="F109" s="18" t="s">
        <v>219</v>
      </c>
      <c r="J109" s="196" t="s">
        <v>217</v>
      </c>
      <c r="K109" s="196"/>
    </row>
    <row r="112" spans="1:11" ht="24" customHeight="1">
      <c r="A112" s="227" t="s">
        <v>0</v>
      </c>
      <c r="B112" s="227"/>
      <c r="C112" s="227"/>
      <c r="D112" s="227"/>
      <c r="E112" s="227"/>
      <c r="F112" s="227"/>
      <c r="G112" s="227"/>
      <c r="H112" s="227"/>
      <c r="I112" s="227"/>
      <c r="J112" s="227"/>
      <c r="K112" s="227"/>
    </row>
    <row r="113" spans="1:11" ht="24" customHeight="1">
      <c r="A113" s="227" t="s">
        <v>94</v>
      </c>
      <c r="B113" s="227"/>
      <c r="C113" s="227"/>
      <c r="D113" s="227"/>
      <c r="E113" s="227"/>
      <c r="F113" s="227"/>
      <c r="G113" s="227"/>
      <c r="H113" s="227"/>
      <c r="I113" s="227"/>
      <c r="J113" s="227"/>
      <c r="K113" s="227"/>
    </row>
    <row r="114" spans="1:11" ht="24" customHeight="1">
      <c r="A114" s="227" t="s">
        <v>242</v>
      </c>
      <c r="B114" s="227"/>
      <c r="C114" s="227"/>
      <c r="D114" s="227"/>
      <c r="E114" s="227"/>
      <c r="F114" s="227"/>
      <c r="G114" s="227"/>
      <c r="H114" s="227"/>
      <c r="I114" s="227"/>
      <c r="J114" s="227"/>
      <c r="K114" s="227"/>
    </row>
    <row r="115" ht="24" customHeight="1"/>
    <row r="116" spans="1:10" ht="25.5" customHeight="1">
      <c r="A116" s="16" t="s">
        <v>199</v>
      </c>
      <c r="J116" s="18" t="str">
        <f>A114</f>
        <v>ณ วันที่  30 กันยายน  2552</v>
      </c>
    </row>
    <row r="117" ht="17.25" customHeight="1">
      <c r="A117" s="16"/>
    </row>
    <row r="118" spans="1:11" ht="21">
      <c r="A118" s="19"/>
      <c r="B118" s="224" t="s">
        <v>116</v>
      </c>
      <c r="C118" s="222"/>
      <c r="D118" s="222"/>
      <c r="E118" s="222"/>
      <c r="F118" s="222"/>
      <c r="G118" s="222"/>
      <c r="H118" s="194"/>
      <c r="I118" s="23" t="s">
        <v>48</v>
      </c>
      <c r="J118" s="26" t="s">
        <v>85</v>
      </c>
      <c r="K118" s="25" t="s">
        <v>93</v>
      </c>
    </row>
    <row r="119" spans="2:11" ht="29.25" customHeight="1">
      <c r="B119" s="141" t="s">
        <v>204</v>
      </c>
      <c r="C119" s="22"/>
      <c r="D119" s="22"/>
      <c r="E119" s="22"/>
      <c r="F119" s="22"/>
      <c r="G119" s="22"/>
      <c r="H119" s="37"/>
      <c r="I119" s="32"/>
      <c r="J119" s="27"/>
      <c r="K119" s="33"/>
    </row>
    <row r="120" spans="2:11" ht="21.75">
      <c r="B120" s="210" t="s">
        <v>205</v>
      </c>
      <c r="C120" s="211"/>
      <c r="D120" s="211"/>
      <c r="E120" s="211"/>
      <c r="F120" s="211"/>
      <c r="G120" s="211"/>
      <c r="H120" s="212"/>
      <c r="I120" s="213">
        <v>93200</v>
      </c>
      <c r="J120" s="214">
        <v>0</v>
      </c>
      <c r="K120" s="215">
        <f>I120-J120</f>
        <v>93200</v>
      </c>
    </row>
    <row r="121" spans="2:11" ht="21.75">
      <c r="B121" s="210" t="s">
        <v>206</v>
      </c>
      <c r="C121" s="211"/>
      <c r="D121" s="211"/>
      <c r="E121" s="211"/>
      <c r="F121" s="211"/>
      <c r="G121" s="211"/>
      <c r="H121" s="212"/>
      <c r="I121" s="213">
        <v>23490</v>
      </c>
      <c r="J121" s="214">
        <v>0</v>
      </c>
      <c r="K121" s="215">
        <f>I121-J121</f>
        <v>23490</v>
      </c>
    </row>
    <row r="122" spans="2:11" ht="27" customHeight="1">
      <c r="B122" s="208" t="s">
        <v>207</v>
      </c>
      <c r="C122" s="204"/>
      <c r="D122" s="204"/>
      <c r="E122" s="204"/>
      <c r="F122" s="204"/>
      <c r="G122" s="204"/>
      <c r="H122" s="205"/>
      <c r="I122" s="206"/>
      <c r="J122" s="209"/>
      <c r="K122" s="207"/>
    </row>
    <row r="123" spans="2:11" ht="21.75">
      <c r="B123" s="210" t="s">
        <v>208</v>
      </c>
      <c r="C123" s="211"/>
      <c r="D123" s="211"/>
      <c r="E123" s="211"/>
      <c r="F123" s="211"/>
      <c r="G123" s="211"/>
      <c r="H123" s="212"/>
      <c r="I123" s="213">
        <v>0</v>
      </c>
      <c r="J123" s="214">
        <v>0</v>
      </c>
      <c r="K123" s="215">
        <v>0</v>
      </c>
    </row>
    <row r="124" spans="2:11" ht="21.75">
      <c r="B124" s="210" t="s">
        <v>209</v>
      </c>
      <c r="C124" s="211"/>
      <c r="D124" s="211"/>
      <c r="E124" s="211"/>
      <c r="F124" s="211"/>
      <c r="G124" s="211"/>
      <c r="H124" s="212"/>
      <c r="I124" s="213">
        <v>0</v>
      </c>
      <c r="J124" s="214">
        <v>0</v>
      </c>
      <c r="K124" s="215">
        <v>0</v>
      </c>
    </row>
    <row r="125" spans="2:11" ht="15.75" customHeight="1">
      <c r="B125" s="38"/>
      <c r="C125" s="39"/>
      <c r="D125" s="39"/>
      <c r="E125" s="39"/>
      <c r="F125" s="39"/>
      <c r="G125" s="39"/>
      <c r="H125" s="40"/>
      <c r="I125" s="34"/>
      <c r="J125" s="28"/>
      <c r="K125" s="35"/>
    </row>
    <row r="126" spans="6:11" ht="25.5" customHeight="1" thickBot="1">
      <c r="F126" s="18" t="s">
        <v>82</v>
      </c>
      <c r="I126" s="29">
        <f>SUM(I119:I125)</f>
        <v>116690</v>
      </c>
      <c r="J126" s="30">
        <f>SUM(J119:J125)</f>
        <v>0</v>
      </c>
      <c r="K126" s="30">
        <f>SUM(K119:K125)</f>
        <v>116690</v>
      </c>
    </row>
    <row r="127" spans="9:11" ht="21.75" thickTop="1">
      <c r="I127" s="20"/>
      <c r="J127" s="20"/>
      <c r="K127" s="20"/>
    </row>
    <row r="129" spans="1:10" ht="23.25">
      <c r="A129" s="16" t="s">
        <v>200</v>
      </c>
      <c r="H129" s="17"/>
      <c r="J129" s="18" t="str">
        <f>A114</f>
        <v>ณ วันที่  30 กันยายน  2552</v>
      </c>
    </row>
    <row r="130" spans="1:8" ht="12.75" customHeight="1">
      <c r="A130" s="16"/>
      <c r="H130" s="17"/>
    </row>
    <row r="131" spans="1:11" ht="21">
      <c r="A131" s="19"/>
      <c r="B131" s="224" t="s">
        <v>116</v>
      </c>
      <c r="C131" s="222"/>
      <c r="D131" s="222"/>
      <c r="E131" s="222"/>
      <c r="F131" s="222"/>
      <c r="G131" s="194"/>
      <c r="H131" s="26" t="s">
        <v>48</v>
      </c>
      <c r="I131" s="24" t="s">
        <v>84</v>
      </c>
      <c r="J131" s="26" t="s">
        <v>85</v>
      </c>
      <c r="K131" s="26" t="s">
        <v>93</v>
      </c>
    </row>
    <row r="132" spans="2:11" ht="26.25" customHeight="1">
      <c r="B132" s="216" t="s">
        <v>77</v>
      </c>
      <c r="C132" s="217"/>
      <c r="D132" s="217"/>
      <c r="E132" s="217"/>
      <c r="F132" s="217"/>
      <c r="G132" s="218"/>
      <c r="H132" s="219">
        <f aca="true" t="shared" si="4" ref="H132:H138">+K95</f>
        <v>4504.959999999998</v>
      </c>
      <c r="I132" s="220">
        <v>6829.41</v>
      </c>
      <c r="J132" s="219">
        <v>11334.37</v>
      </c>
      <c r="K132" s="219">
        <f>H132+I132-J132</f>
        <v>0</v>
      </c>
    </row>
    <row r="133" spans="2:11" ht="21.75">
      <c r="B133" s="210" t="s">
        <v>78</v>
      </c>
      <c r="C133" s="211"/>
      <c r="D133" s="211"/>
      <c r="E133" s="211"/>
      <c r="F133" s="211"/>
      <c r="G133" s="212"/>
      <c r="H133" s="214">
        <f t="shared" si="4"/>
        <v>181115</v>
      </c>
      <c r="I133" s="221">
        <v>5981</v>
      </c>
      <c r="J133" s="214">
        <v>39750</v>
      </c>
      <c r="K133" s="214">
        <f aca="true" t="shared" si="5" ref="K133:K138">H133+I133-J133</f>
        <v>147346</v>
      </c>
    </row>
    <row r="134" spans="2:11" ht="21.75">
      <c r="B134" s="210" t="s">
        <v>79</v>
      </c>
      <c r="C134" s="211"/>
      <c r="D134" s="211"/>
      <c r="E134" s="211"/>
      <c r="F134" s="211"/>
      <c r="G134" s="212"/>
      <c r="H134" s="214">
        <f t="shared" si="4"/>
        <v>912.4499999999999</v>
      </c>
      <c r="I134" s="221">
        <v>3.4</v>
      </c>
      <c r="J134" s="214">
        <v>0</v>
      </c>
      <c r="K134" s="214">
        <f t="shared" si="5"/>
        <v>915.8499999999999</v>
      </c>
    </row>
    <row r="135" spans="2:11" ht="21.75">
      <c r="B135" s="210" t="s">
        <v>80</v>
      </c>
      <c r="C135" s="211"/>
      <c r="D135" s="211"/>
      <c r="E135" s="211"/>
      <c r="F135" s="211"/>
      <c r="G135" s="212"/>
      <c r="H135" s="214">
        <f t="shared" si="4"/>
        <v>1094.9399999999998</v>
      </c>
      <c r="I135" s="221">
        <v>4.08</v>
      </c>
      <c r="J135" s="214">
        <v>0</v>
      </c>
      <c r="K135" s="214">
        <f t="shared" si="5"/>
        <v>1099.0199999999998</v>
      </c>
    </row>
    <row r="136" spans="2:11" ht="21.75">
      <c r="B136" s="210" t="s">
        <v>81</v>
      </c>
      <c r="C136" s="211"/>
      <c r="D136" s="211"/>
      <c r="E136" s="211"/>
      <c r="F136" s="211"/>
      <c r="G136" s="212"/>
      <c r="H136" s="214">
        <f>+K99+561.22</f>
        <v>286673.29</v>
      </c>
      <c r="I136" s="221">
        <v>292.1</v>
      </c>
      <c r="J136" s="214">
        <v>0</v>
      </c>
      <c r="K136" s="214">
        <f t="shared" si="5"/>
        <v>286965.38999999996</v>
      </c>
    </row>
    <row r="137" spans="2:11" ht="21.75">
      <c r="B137" s="210" t="s">
        <v>133</v>
      </c>
      <c r="C137" s="211"/>
      <c r="D137" s="211"/>
      <c r="E137" s="211"/>
      <c r="F137" s="211"/>
      <c r="G137" s="212"/>
      <c r="H137" s="214">
        <f t="shared" si="4"/>
        <v>94</v>
      </c>
      <c r="I137" s="221">
        <v>188</v>
      </c>
      <c r="J137" s="214">
        <v>282</v>
      </c>
      <c r="K137" s="214">
        <f t="shared" si="5"/>
        <v>0</v>
      </c>
    </row>
    <row r="138" spans="2:11" ht="21.75">
      <c r="B138" s="210" t="s">
        <v>134</v>
      </c>
      <c r="C138" s="211"/>
      <c r="D138" s="211"/>
      <c r="E138" s="211"/>
      <c r="F138" s="211"/>
      <c r="G138" s="212"/>
      <c r="H138" s="214">
        <f t="shared" si="4"/>
        <v>1989.25</v>
      </c>
      <c r="I138" s="221">
        <v>0</v>
      </c>
      <c r="J138" s="214">
        <v>0</v>
      </c>
      <c r="K138" s="214">
        <f t="shared" si="5"/>
        <v>1989.25</v>
      </c>
    </row>
    <row r="139" spans="2:11" ht="18.75" customHeight="1">
      <c r="B139" s="38"/>
      <c r="C139" s="39"/>
      <c r="D139" s="39"/>
      <c r="E139" s="39"/>
      <c r="F139" s="39"/>
      <c r="G139" s="40"/>
      <c r="H139" s="28"/>
      <c r="I139" s="21"/>
      <c r="J139" s="28"/>
      <c r="K139" s="27"/>
    </row>
    <row r="140" spans="6:11" ht="24.75" customHeight="1" thickBot="1">
      <c r="F140" s="18" t="s">
        <v>82</v>
      </c>
      <c r="H140" s="30">
        <f>SUM(H132:H139)</f>
        <v>476383.89</v>
      </c>
      <c r="I140" s="30">
        <f>SUM(I132:I139)</f>
        <v>13297.99</v>
      </c>
      <c r="J140" s="31">
        <f>SUM(J132:J139)</f>
        <v>51366.37</v>
      </c>
      <c r="K140" s="30">
        <f>SUM(K132:K139)</f>
        <v>438315.50999999995</v>
      </c>
    </row>
    <row r="141" spans="8:11" ht="21.75" thickTop="1">
      <c r="H141" s="20"/>
      <c r="I141" s="20"/>
      <c r="J141" s="20"/>
      <c r="K141" s="20"/>
    </row>
    <row r="143" ht="16.5" customHeight="1"/>
    <row r="144" spans="1:11" ht="23.25" customHeight="1">
      <c r="A144" s="195" t="s">
        <v>216</v>
      </c>
      <c r="B144" s="195"/>
      <c r="C144" s="195"/>
      <c r="D144" s="195"/>
      <c r="E144" s="195"/>
      <c r="F144" s="195"/>
      <c r="G144" s="195"/>
      <c r="H144" s="195"/>
      <c r="I144" s="195"/>
      <c r="J144" s="195"/>
      <c r="K144" s="195"/>
    </row>
    <row r="145" spans="1:11" ht="24" customHeight="1">
      <c r="A145" s="196" t="s">
        <v>218</v>
      </c>
      <c r="B145" s="196"/>
      <c r="C145" s="196"/>
      <c r="D145" s="196"/>
      <c r="E145" s="196"/>
      <c r="F145" s="196"/>
      <c r="G145" s="196"/>
      <c r="H145" s="196"/>
      <c r="I145" s="196"/>
      <c r="J145" s="196"/>
      <c r="K145" s="196"/>
    </row>
    <row r="146" spans="1:11" ht="18.75" customHeight="1">
      <c r="A146" s="196" t="s">
        <v>196</v>
      </c>
      <c r="B146" s="196"/>
      <c r="C146" s="196"/>
      <c r="D146" s="196"/>
      <c r="E146" s="196"/>
      <c r="F146" s="18" t="s">
        <v>219</v>
      </c>
      <c r="J146" s="196" t="s">
        <v>217</v>
      </c>
      <c r="K146" s="196"/>
    </row>
  </sheetData>
  <mergeCells count="36">
    <mergeCell ref="B20:G20"/>
    <mergeCell ref="A33:K33"/>
    <mergeCell ref="A34:K34"/>
    <mergeCell ref="A35:E35"/>
    <mergeCell ref="J35:K35"/>
    <mergeCell ref="A1:K1"/>
    <mergeCell ref="A2:K2"/>
    <mergeCell ref="A3:K3"/>
    <mergeCell ref="B7:H7"/>
    <mergeCell ref="A38:K38"/>
    <mergeCell ref="A39:K39"/>
    <mergeCell ref="A40:K40"/>
    <mergeCell ref="B44:H44"/>
    <mergeCell ref="B57:G57"/>
    <mergeCell ref="A70:K70"/>
    <mergeCell ref="A71:K71"/>
    <mergeCell ref="A72:E72"/>
    <mergeCell ref="J72:K72"/>
    <mergeCell ref="A75:K75"/>
    <mergeCell ref="A76:K76"/>
    <mergeCell ref="A77:K77"/>
    <mergeCell ref="B81:H81"/>
    <mergeCell ref="B94:G94"/>
    <mergeCell ref="A107:K107"/>
    <mergeCell ref="A108:K108"/>
    <mergeCell ref="A109:E109"/>
    <mergeCell ref="J109:K109"/>
    <mergeCell ref="A112:K112"/>
    <mergeCell ref="A113:K113"/>
    <mergeCell ref="A114:K114"/>
    <mergeCell ref="B118:H118"/>
    <mergeCell ref="B131:G131"/>
    <mergeCell ref="A144:K144"/>
    <mergeCell ref="A145:K145"/>
    <mergeCell ref="A146:E146"/>
    <mergeCell ref="J146:K146"/>
  </mergeCells>
  <printOptions/>
  <pageMargins left="0.47" right="0.18" top="0.47" bottom="0.61" header="0.31" footer="0.49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55">
      <selection activeCell="B66" sqref="B66"/>
    </sheetView>
  </sheetViews>
  <sheetFormatPr defaultColWidth="9.140625" defaultRowHeight="21.75"/>
  <cols>
    <col min="1" max="1" width="2.28125" style="152" customWidth="1"/>
    <col min="2" max="2" width="61.8515625" style="152" customWidth="1"/>
    <col min="3" max="3" width="9.140625" style="152" customWidth="1"/>
    <col min="4" max="4" width="16.00390625" style="152" customWidth="1"/>
    <col min="5" max="5" width="17.421875" style="152" customWidth="1"/>
    <col min="6" max="16384" width="9.140625" style="152" customWidth="1"/>
  </cols>
  <sheetData>
    <row r="1" spans="1:7" ht="36" customHeight="1">
      <c r="A1" s="223" t="s">
        <v>0</v>
      </c>
      <c r="B1" s="223"/>
      <c r="C1" s="223"/>
      <c r="D1" s="223"/>
      <c r="E1" s="223"/>
      <c r="F1" s="172"/>
      <c r="G1" s="151"/>
    </row>
    <row r="2" spans="1:7" ht="24" customHeight="1">
      <c r="A2" s="223" t="s">
        <v>184</v>
      </c>
      <c r="B2" s="223"/>
      <c r="C2" s="223"/>
      <c r="D2" s="223"/>
      <c r="E2" s="223"/>
      <c r="F2" s="172"/>
      <c r="G2" s="151"/>
    </row>
    <row r="3" spans="1:7" ht="24" customHeight="1">
      <c r="A3" s="242" t="s">
        <v>250</v>
      </c>
      <c r="B3" s="242"/>
      <c r="C3" s="242"/>
      <c r="D3" s="242"/>
      <c r="E3" s="242"/>
      <c r="F3" s="172"/>
      <c r="G3" s="151"/>
    </row>
    <row r="4" spans="1:5" ht="34.5" customHeight="1">
      <c r="A4" s="241" t="s">
        <v>183</v>
      </c>
      <c r="B4" s="241"/>
      <c r="C4" s="150" t="s">
        <v>45</v>
      </c>
      <c r="D4" s="175" t="s">
        <v>43</v>
      </c>
      <c r="E4" s="175" t="s">
        <v>251</v>
      </c>
    </row>
    <row r="5" spans="1:5" ht="24">
      <c r="A5" s="153" t="s">
        <v>147</v>
      </c>
      <c r="B5" s="154"/>
      <c r="C5" s="155">
        <v>411000</v>
      </c>
      <c r="D5" s="156"/>
      <c r="E5" s="156"/>
    </row>
    <row r="6" spans="1:5" ht="24">
      <c r="A6" s="157"/>
      <c r="B6" s="158" t="s">
        <v>148</v>
      </c>
      <c r="C6" s="159">
        <v>411001</v>
      </c>
      <c r="D6" s="160">
        <v>38500</v>
      </c>
      <c r="E6" s="160">
        <f>รายรับ!F161</f>
        <v>71957.57</v>
      </c>
    </row>
    <row r="7" spans="1:5" ht="24">
      <c r="A7" s="157"/>
      <c r="B7" s="158" t="s">
        <v>149</v>
      </c>
      <c r="C7" s="159">
        <v>411002</v>
      </c>
      <c r="D7" s="160">
        <v>170000</v>
      </c>
      <c r="E7" s="160">
        <f>รายรับ!F162</f>
        <v>164761.24999999997</v>
      </c>
    </row>
    <row r="8" spans="1:5" ht="24">
      <c r="A8" s="161"/>
      <c r="B8" s="162" t="s">
        <v>150</v>
      </c>
      <c r="C8" s="163">
        <v>411003</v>
      </c>
      <c r="D8" s="164">
        <v>3500</v>
      </c>
      <c r="E8" s="169">
        <f>รายรับ!F163</f>
        <v>6724</v>
      </c>
    </row>
    <row r="9" spans="1:5" ht="24">
      <c r="A9" s="239" t="s">
        <v>82</v>
      </c>
      <c r="B9" s="240"/>
      <c r="C9" s="150"/>
      <c r="D9" s="165">
        <f>SUM(D6:D8)</f>
        <v>212000</v>
      </c>
      <c r="E9" s="165">
        <f>รายรับ!F164</f>
        <v>243442.81999999998</v>
      </c>
    </row>
    <row r="10" spans="1:5" ht="24">
      <c r="A10" s="166" t="s">
        <v>151</v>
      </c>
      <c r="B10" s="162"/>
      <c r="C10" s="163">
        <v>412000</v>
      </c>
      <c r="D10" s="164"/>
      <c r="E10" s="170">
        <f>รายรับ!F165</f>
        <v>0</v>
      </c>
    </row>
    <row r="11" spans="1:5" ht="24">
      <c r="A11" s="157"/>
      <c r="B11" s="158" t="s">
        <v>152</v>
      </c>
      <c r="C11" s="159">
        <v>412104</v>
      </c>
      <c r="D11" s="160">
        <v>170000</v>
      </c>
      <c r="E11" s="160">
        <f>รายรับ!F166</f>
        <v>216560</v>
      </c>
    </row>
    <row r="12" spans="1:5" ht="24">
      <c r="A12" s="157"/>
      <c r="B12" s="158" t="s">
        <v>153</v>
      </c>
      <c r="C12" s="159">
        <v>412202</v>
      </c>
      <c r="D12" s="160">
        <v>20000</v>
      </c>
      <c r="E12" s="160">
        <f>รายรับ!F167</f>
        <v>17400</v>
      </c>
    </row>
    <row r="13" spans="1:5" ht="24">
      <c r="A13" s="157"/>
      <c r="B13" s="158" t="s">
        <v>154</v>
      </c>
      <c r="C13" s="159">
        <v>412210</v>
      </c>
      <c r="D13" s="160">
        <v>10000</v>
      </c>
      <c r="E13" s="160">
        <f>รายรับ!F168</f>
        <v>68399</v>
      </c>
    </row>
    <row r="14" spans="1:5" ht="24">
      <c r="A14" s="157"/>
      <c r="B14" s="158" t="s">
        <v>155</v>
      </c>
      <c r="C14" s="159">
        <v>412303</v>
      </c>
      <c r="D14" s="160">
        <v>15000</v>
      </c>
      <c r="E14" s="160">
        <f>รายรับ!F169</f>
        <v>13200</v>
      </c>
    </row>
    <row r="15" spans="1:5" ht="24">
      <c r="A15" s="157"/>
      <c r="B15" s="158" t="s">
        <v>156</v>
      </c>
      <c r="C15" s="159">
        <v>412302</v>
      </c>
      <c r="D15" s="160">
        <v>1800</v>
      </c>
      <c r="E15" s="160">
        <f>รายรับ!F170</f>
        <v>1800</v>
      </c>
    </row>
    <row r="16" spans="1:5" ht="24">
      <c r="A16" s="157"/>
      <c r="B16" s="158" t="s">
        <v>157</v>
      </c>
      <c r="C16" s="159">
        <v>412301</v>
      </c>
      <c r="D16" s="160">
        <v>4000</v>
      </c>
      <c r="E16" s="160">
        <f>รายรับ!F171</f>
        <v>5000</v>
      </c>
    </row>
    <row r="17" spans="1:5" ht="24">
      <c r="A17" s="161"/>
      <c r="B17" s="162" t="s">
        <v>158</v>
      </c>
      <c r="C17" s="163">
        <v>412399</v>
      </c>
      <c r="D17" s="164">
        <v>0</v>
      </c>
      <c r="E17" s="169">
        <f>รายรับ!F172</f>
        <v>100</v>
      </c>
    </row>
    <row r="18" spans="1:5" ht="24">
      <c r="A18" s="239" t="s">
        <v>82</v>
      </c>
      <c r="B18" s="240"/>
      <c r="C18" s="150"/>
      <c r="D18" s="165">
        <f>SUM(D11:D17)</f>
        <v>220800</v>
      </c>
      <c r="E18" s="165">
        <f>รายรับ!F173</f>
        <v>322459</v>
      </c>
    </row>
    <row r="19" spans="1:5" ht="24">
      <c r="A19" s="166" t="s">
        <v>159</v>
      </c>
      <c r="B19" s="162"/>
      <c r="C19" s="163">
        <v>413000</v>
      </c>
      <c r="D19" s="164"/>
      <c r="E19" s="170">
        <f>รายรับ!F174</f>
        <v>0</v>
      </c>
    </row>
    <row r="20" spans="1:5" ht="24">
      <c r="A20" s="157"/>
      <c r="B20" s="158" t="s">
        <v>160</v>
      </c>
      <c r="C20" s="159">
        <v>413002</v>
      </c>
      <c r="D20" s="160">
        <v>36000</v>
      </c>
      <c r="E20" s="160">
        <f>รายรับ!F175</f>
        <v>26000</v>
      </c>
    </row>
    <row r="21" spans="1:5" ht="24">
      <c r="A21" s="161"/>
      <c r="B21" s="162" t="s">
        <v>161</v>
      </c>
      <c r="C21" s="163">
        <v>413003</v>
      </c>
      <c r="D21" s="164">
        <v>100000</v>
      </c>
      <c r="E21" s="169">
        <f>รายรับ!F176</f>
        <v>47732.18</v>
      </c>
    </row>
    <row r="22" spans="1:5" ht="24">
      <c r="A22" s="241" t="s">
        <v>82</v>
      </c>
      <c r="B22" s="241"/>
      <c r="C22" s="150"/>
      <c r="D22" s="165">
        <f>SUM(D20:D21)</f>
        <v>136000</v>
      </c>
      <c r="E22" s="165">
        <f>รายรับ!F177</f>
        <v>73732.18</v>
      </c>
    </row>
    <row r="23" spans="1:5" ht="24">
      <c r="A23" s="166" t="s">
        <v>162</v>
      </c>
      <c r="B23" s="162"/>
      <c r="C23" s="163">
        <v>414000</v>
      </c>
      <c r="D23" s="164">
        <v>260000</v>
      </c>
      <c r="E23" s="170">
        <f>รายรับ!F178</f>
        <v>0</v>
      </c>
    </row>
    <row r="24" spans="1:5" ht="24">
      <c r="A24" s="157"/>
      <c r="B24" s="158" t="s">
        <v>163</v>
      </c>
      <c r="C24" s="159">
        <v>414006</v>
      </c>
      <c r="D24" s="160">
        <v>0</v>
      </c>
      <c r="E24" s="160">
        <f>รายรับ!F179</f>
        <v>94607</v>
      </c>
    </row>
    <row r="25" spans="1:5" ht="24">
      <c r="A25" s="161"/>
      <c r="B25" s="162" t="s">
        <v>164</v>
      </c>
      <c r="C25" s="163">
        <v>414006</v>
      </c>
      <c r="D25" s="164">
        <v>0</v>
      </c>
      <c r="E25" s="169">
        <f>รายรับ!F180</f>
        <v>104900</v>
      </c>
    </row>
    <row r="26" spans="1:5" ht="24">
      <c r="A26" s="239" t="s">
        <v>82</v>
      </c>
      <c r="B26" s="240"/>
      <c r="C26" s="150"/>
      <c r="D26" s="165">
        <f>SUM(D23:D25)</f>
        <v>260000</v>
      </c>
      <c r="E26" s="171">
        <f>รายรับ!F181</f>
        <v>199507</v>
      </c>
    </row>
    <row r="27" spans="1:5" ht="24">
      <c r="A27" s="166" t="s">
        <v>165</v>
      </c>
      <c r="B27" s="162"/>
      <c r="C27" s="163">
        <v>415000</v>
      </c>
      <c r="D27" s="164"/>
      <c r="E27" s="170">
        <f>รายรับ!F182</f>
        <v>0</v>
      </c>
    </row>
    <row r="28" spans="1:5" ht="24">
      <c r="A28" s="157"/>
      <c r="B28" s="158" t="s">
        <v>166</v>
      </c>
      <c r="C28" s="159">
        <v>415003</v>
      </c>
      <c r="D28" s="160">
        <v>120000</v>
      </c>
      <c r="E28" s="160">
        <f>รายรับ!F183</f>
        <v>120000</v>
      </c>
    </row>
    <row r="29" spans="1:5" ht="24">
      <c r="A29" s="157"/>
      <c r="B29" s="158" t="s">
        <v>167</v>
      </c>
      <c r="C29" s="159">
        <v>415004</v>
      </c>
      <c r="D29" s="160">
        <v>150000</v>
      </c>
      <c r="E29" s="160">
        <f>รายรับ!F184</f>
        <v>74500</v>
      </c>
    </row>
    <row r="30" spans="1:5" ht="24">
      <c r="A30" s="161"/>
      <c r="B30" s="162" t="s">
        <v>168</v>
      </c>
      <c r="C30" s="163">
        <v>415999</v>
      </c>
      <c r="D30" s="164">
        <v>151200</v>
      </c>
      <c r="E30" s="169">
        <f>รายรับ!F185</f>
        <v>235105</v>
      </c>
    </row>
    <row r="31" spans="1:5" ht="24">
      <c r="A31" s="239" t="s">
        <v>82</v>
      </c>
      <c r="B31" s="240"/>
      <c r="C31" s="150"/>
      <c r="D31" s="165">
        <f>SUM(D28:D30)</f>
        <v>421200</v>
      </c>
      <c r="E31" s="165">
        <f>รายรับ!F186</f>
        <v>429605</v>
      </c>
    </row>
    <row r="32" spans="1:5" ht="24">
      <c r="A32" s="179"/>
      <c r="B32" s="179"/>
      <c r="C32" s="179"/>
      <c r="D32" s="180"/>
      <c r="E32" s="180"/>
    </row>
    <row r="33" spans="1:5" ht="24">
      <c r="A33" s="243" t="s">
        <v>254</v>
      </c>
      <c r="B33" s="244"/>
      <c r="C33" s="244"/>
      <c r="D33" s="244"/>
      <c r="E33" s="244"/>
    </row>
    <row r="34" spans="1:5" ht="15.75" customHeight="1">
      <c r="A34" s="181"/>
      <c r="B34" s="181"/>
      <c r="C34" s="181"/>
      <c r="D34" s="182"/>
      <c r="E34" s="182"/>
    </row>
    <row r="35" spans="1:5" ht="36" customHeight="1">
      <c r="A35" s="241" t="s">
        <v>183</v>
      </c>
      <c r="B35" s="241"/>
      <c r="C35" s="150" t="s">
        <v>45</v>
      </c>
      <c r="D35" s="175" t="s">
        <v>43</v>
      </c>
      <c r="E35" s="175" t="s">
        <v>251</v>
      </c>
    </row>
    <row r="36" spans="1:5" ht="24">
      <c r="A36" s="166" t="s">
        <v>169</v>
      </c>
      <c r="B36" s="162"/>
      <c r="C36" s="163">
        <v>420000</v>
      </c>
      <c r="D36" s="164"/>
      <c r="E36" s="170">
        <f>รายรับ!F187</f>
        <v>0</v>
      </c>
    </row>
    <row r="37" spans="1:5" ht="24">
      <c r="A37" s="157"/>
      <c r="B37" s="158" t="s">
        <v>170</v>
      </c>
      <c r="C37" s="159">
        <v>421002</v>
      </c>
      <c r="D37" s="160">
        <v>4100000</v>
      </c>
      <c r="E37" s="160">
        <f>รายรับ!F188</f>
        <v>4395316.38</v>
      </c>
    </row>
    <row r="38" spans="1:5" ht="24">
      <c r="A38" s="157"/>
      <c r="B38" s="158" t="s">
        <v>171</v>
      </c>
      <c r="C38" s="159">
        <v>421004</v>
      </c>
      <c r="D38" s="160">
        <v>2000000</v>
      </c>
      <c r="E38" s="160">
        <f>รายรับ!F189</f>
        <v>1788450.42</v>
      </c>
    </row>
    <row r="39" spans="1:5" ht="24">
      <c r="A39" s="157"/>
      <c r="B39" s="158" t="s">
        <v>172</v>
      </c>
      <c r="C39" s="159">
        <v>421005</v>
      </c>
      <c r="D39" s="160">
        <v>0</v>
      </c>
      <c r="E39" s="160">
        <f>รายรับ!F190</f>
        <v>15524.19</v>
      </c>
    </row>
    <row r="40" spans="1:5" ht="24">
      <c r="A40" s="157"/>
      <c r="B40" s="158" t="s">
        <v>173</v>
      </c>
      <c r="C40" s="159">
        <v>421006</v>
      </c>
      <c r="D40" s="160">
        <v>880000</v>
      </c>
      <c r="E40" s="160">
        <f>รายรับ!F191</f>
        <v>1093612.78</v>
      </c>
    </row>
    <row r="41" spans="1:5" ht="24">
      <c r="A41" s="157"/>
      <c r="B41" s="158" t="s">
        <v>174</v>
      </c>
      <c r="C41" s="159">
        <v>421007</v>
      </c>
      <c r="D41" s="160">
        <v>1500000</v>
      </c>
      <c r="E41" s="160">
        <f>รายรับ!F192</f>
        <v>2144677.0199999996</v>
      </c>
    </row>
    <row r="42" spans="1:5" ht="24">
      <c r="A42" s="157"/>
      <c r="B42" s="158" t="s">
        <v>175</v>
      </c>
      <c r="C42" s="159">
        <v>421015</v>
      </c>
      <c r="D42" s="160">
        <v>520000</v>
      </c>
      <c r="E42" s="160">
        <f>รายรับ!F193</f>
        <v>741237</v>
      </c>
    </row>
    <row r="43" spans="1:5" ht="24">
      <c r="A43" s="157"/>
      <c r="B43" s="158" t="s">
        <v>201</v>
      </c>
      <c r="C43" s="159">
        <v>421013</v>
      </c>
      <c r="D43" s="160">
        <v>40000</v>
      </c>
      <c r="E43" s="160">
        <f>รายรับ!F194</f>
        <v>72852.67</v>
      </c>
    </row>
    <row r="44" spans="1:5" ht="24">
      <c r="A44" s="161"/>
      <c r="B44" s="162" t="s">
        <v>176</v>
      </c>
      <c r="C44" s="163">
        <v>421012</v>
      </c>
      <c r="D44" s="164">
        <v>10000</v>
      </c>
      <c r="E44" s="169">
        <f>รายรับ!F195</f>
        <v>25274.260000000002</v>
      </c>
    </row>
    <row r="45" spans="1:5" ht="24">
      <c r="A45" s="239" t="s">
        <v>82</v>
      </c>
      <c r="B45" s="240"/>
      <c r="C45" s="150"/>
      <c r="D45" s="165">
        <f>SUM(D37:D44)</f>
        <v>9050000</v>
      </c>
      <c r="E45" s="165">
        <f>รายรับ!F196</f>
        <v>10276944.719999999</v>
      </c>
    </row>
    <row r="46" spans="1:5" ht="24">
      <c r="A46" s="176" t="s">
        <v>177</v>
      </c>
      <c r="B46" s="177"/>
      <c r="C46" s="178">
        <v>430000</v>
      </c>
      <c r="D46" s="174"/>
      <c r="E46" s="170">
        <f>รายรับ!F197</f>
        <v>0</v>
      </c>
    </row>
    <row r="47" spans="1:5" ht="24">
      <c r="A47" s="161"/>
      <c r="B47" s="173" t="s">
        <v>178</v>
      </c>
      <c r="C47" s="163">
        <v>431002</v>
      </c>
      <c r="D47" s="164">
        <v>12200000</v>
      </c>
      <c r="E47" s="169">
        <f>รายรับ!F198</f>
        <v>11240649.39</v>
      </c>
    </row>
    <row r="48" spans="1:5" ht="24">
      <c r="A48" s="239" t="s">
        <v>82</v>
      </c>
      <c r="B48" s="240"/>
      <c r="C48" s="150"/>
      <c r="D48" s="165">
        <f>SUM(D47)</f>
        <v>12200000</v>
      </c>
      <c r="E48" s="165">
        <f>รายรับ!F199</f>
        <v>11240649.39</v>
      </c>
    </row>
    <row r="49" spans="1:5" ht="24">
      <c r="A49" s="166" t="s">
        <v>179</v>
      </c>
      <c r="B49" s="162"/>
      <c r="C49" s="163">
        <v>440000</v>
      </c>
      <c r="D49" s="164"/>
      <c r="E49" s="170">
        <f>รายรับ!F200</f>
        <v>0</v>
      </c>
    </row>
    <row r="50" spans="1:5" ht="24">
      <c r="A50" s="157"/>
      <c r="B50" s="158" t="s">
        <v>180</v>
      </c>
      <c r="C50" s="159">
        <v>441002</v>
      </c>
      <c r="D50" s="160">
        <v>0</v>
      </c>
      <c r="E50" s="160">
        <f>รายรับ!F201</f>
        <v>146338.7</v>
      </c>
    </row>
    <row r="51" spans="1:5" ht="24">
      <c r="A51" s="157"/>
      <c r="B51" s="158" t="s">
        <v>181</v>
      </c>
      <c r="C51" s="159">
        <v>441001</v>
      </c>
      <c r="D51" s="160">
        <v>0</v>
      </c>
      <c r="E51" s="160">
        <f>รายรับ!F202</f>
        <v>308484</v>
      </c>
    </row>
    <row r="52" spans="1:5" ht="24">
      <c r="A52" s="157"/>
      <c r="B52" s="158" t="s">
        <v>182</v>
      </c>
      <c r="C52" s="159">
        <v>441002</v>
      </c>
      <c r="D52" s="160">
        <v>0</v>
      </c>
      <c r="E52" s="160">
        <f>รายรับ!F203</f>
        <v>1740000</v>
      </c>
    </row>
    <row r="53" spans="1:5" ht="24">
      <c r="A53" s="157"/>
      <c r="B53" s="158" t="s">
        <v>211</v>
      </c>
      <c r="C53" s="159">
        <v>441001</v>
      </c>
      <c r="D53" s="160">
        <v>0</v>
      </c>
      <c r="E53" s="160">
        <f>รายรับ!F204</f>
        <v>49500</v>
      </c>
    </row>
    <row r="54" spans="1:5" ht="24">
      <c r="A54" s="157"/>
      <c r="B54" s="158" t="s">
        <v>212</v>
      </c>
      <c r="C54" s="159">
        <v>441001</v>
      </c>
      <c r="D54" s="160">
        <v>0</v>
      </c>
      <c r="E54" s="160">
        <f>รายรับ!F205</f>
        <v>40000</v>
      </c>
    </row>
    <row r="55" spans="1:5" ht="24">
      <c r="A55" s="157"/>
      <c r="B55" s="158" t="s">
        <v>229</v>
      </c>
      <c r="C55" s="159">
        <v>441001</v>
      </c>
      <c r="D55" s="160">
        <v>0</v>
      </c>
      <c r="E55" s="160">
        <f>รายรับ!F206</f>
        <v>184800</v>
      </c>
    </row>
    <row r="56" spans="1:5" ht="24">
      <c r="A56" s="167"/>
      <c r="B56" s="162" t="s">
        <v>241</v>
      </c>
      <c r="C56" s="163">
        <v>441001</v>
      </c>
      <c r="D56" s="164">
        <v>0</v>
      </c>
      <c r="E56" s="169">
        <f>รายรับ!F207</f>
        <v>35647.85</v>
      </c>
    </row>
    <row r="57" spans="1:5" ht="24">
      <c r="A57" s="241" t="s">
        <v>82</v>
      </c>
      <c r="B57" s="241"/>
      <c r="C57" s="150"/>
      <c r="D57" s="165">
        <f>SUM(D50:D56)</f>
        <v>0</v>
      </c>
      <c r="E57" s="171">
        <f>รายรับ!F208</f>
        <v>2504770.5500000003</v>
      </c>
    </row>
    <row r="58" spans="1:5" ht="24.75" thickBot="1">
      <c r="A58" s="241" t="s">
        <v>186</v>
      </c>
      <c r="B58" s="241"/>
      <c r="C58" s="241"/>
      <c r="D58" s="168">
        <f>SUM(D9,D18,D22,D26,D31,D45,D48,D57)</f>
        <v>22500000</v>
      </c>
      <c r="E58" s="168">
        <f>SUM(E9,E18,E22,E26,E31,E45,E48,E57)</f>
        <v>25291110.66</v>
      </c>
    </row>
    <row r="59" ht="24.75" thickTop="1"/>
    <row r="62" ht="24">
      <c r="B62" s="152" t="s">
        <v>253</v>
      </c>
    </row>
    <row r="63" ht="24">
      <c r="B63" s="152" t="s">
        <v>252</v>
      </c>
    </row>
  </sheetData>
  <mergeCells count="15">
    <mergeCell ref="A35:B35"/>
    <mergeCell ref="A33:E33"/>
    <mergeCell ref="A58:C58"/>
    <mergeCell ref="A57:B57"/>
    <mergeCell ref="A48:B48"/>
    <mergeCell ref="A45:B45"/>
    <mergeCell ref="A31:B31"/>
    <mergeCell ref="A26:B26"/>
    <mergeCell ref="A22:B22"/>
    <mergeCell ref="A18:B18"/>
    <mergeCell ref="A9:B9"/>
    <mergeCell ref="A4:B4"/>
    <mergeCell ref="A1:E1"/>
    <mergeCell ref="A2:E2"/>
    <mergeCell ref="A3:E3"/>
  </mergeCells>
  <printOptions/>
  <pageMargins left="0.63" right="0.17" top="0.32" bottom="0.16" header="0.5" footer="0.18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A1:I209"/>
  <sheetViews>
    <sheetView workbookViewId="0" topLeftCell="A207">
      <selection activeCell="B212" sqref="B212"/>
    </sheetView>
  </sheetViews>
  <sheetFormatPr defaultColWidth="9.140625" defaultRowHeight="21.75"/>
  <cols>
    <col min="1" max="1" width="2.7109375" style="0" customWidth="1"/>
    <col min="2" max="2" width="52.8515625" style="0" customWidth="1"/>
    <col min="3" max="3" width="11.28125" style="1" customWidth="1"/>
    <col min="4" max="6" width="14.421875" style="85" customWidth="1"/>
    <col min="7" max="7" width="16.8515625" style="85" customWidth="1"/>
  </cols>
  <sheetData>
    <row r="1" spans="1:6" ht="18.75" customHeight="1">
      <c r="A1" s="248" t="s">
        <v>0</v>
      </c>
      <c r="B1" s="248"/>
      <c r="C1" s="248"/>
      <c r="D1" s="248"/>
      <c r="E1" s="248"/>
      <c r="F1" s="248"/>
    </row>
    <row r="2" spans="1:6" ht="18.75" customHeight="1">
      <c r="A2" s="248" t="s">
        <v>184</v>
      </c>
      <c r="B2" s="248"/>
      <c r="C2" s="248"/>
      <c r="D2" s="248"/>
      <c r="E2" s="248"/>
      <c r="F2" s="248"/>
    </row>
    <row r="3" spans="1:6" ht="18.75" customHeight="1">
      <c r="A3" s="248" t="s">
        <v>185</v>
      </c>
      <c r="B3" s="248"/>
      <c r="C3" s="248"/>
      <c r="D3" s="248"/>
      <c r="E3" s="248"/>
      <c r="F3" s="248"/>
    </row>
    <row r="4" spans="1:7" s="81" customFormat="1" ht="20.25" customHeight="1">
      <c r="A4" s="249" t="s">
        <v>183</v>
      </c>
      <c r="B4" s="249"/>
      <c r="C4" s="83" t="s">
        <v>45</v>
      </c>
      <c r="D4" s="84" t="s">
        <v>43</v>
      </c>
      <c r="E4" s="84" t="s">
        <v>145</v>
      </c>
      <c r="F4" s="84" t="s">
        <v>146</v>
      </c>
      <c r="G4" s="99"/>
    </row>
    <row r="5" spans="1:6" s="89" customFormat="1" ht="17.25" customHeight="1">
      <c r="A5" s="86" t="s">
        <v>147</v>
      </c>
      <c r="B5" s="87"/>
      <c r="C5" s="139">
        <v>411000</v>
      </c>
      <c r="D5" s="88"/>
      <c r="E5" s="88"/>
      <c r="F5" s="88"/>
    </row>
    <row r="6" spans="1:7" s="89" customFormat="1" ht="17.25" customHeight="1">
      <c r="A6" s="90"/>
      <c r="B6" s="91" t="s">
        <v>148</v>
      </c>
      <c r="C6" s="140">
        <v>411001</v>
      </c>
      <c r="D6" s="92">
        <v>38500</v>
      </c>
      <c r="E6" s="92"/>
      <c r="F6" s="92">
        <f>G6+E6</f>
        <v>71957.57</v>
      </c>
      <c r="G6" s="100">
        <v>71957.57</v>
      </c>
    </row>
    <row r="7" spans="1:7" s="89" customFormat="1" ht="17.25" customHeight="1">
      <c r="A7" s="90"/>
      <c r="B7" s="91" t="s">
        <v>149</v>
      </c>
      <c r="C7" s="140">
        <v>411002</v>
      </c>
      <c r="D7" s="92">
        <v>170000</v>
      </c>
      <c r="E7" s="92">
        <v>4011.23</v>
      </c>
      <c r="F7" s="92">
        <f>G7+E7</f>
        <v>163162.81</v>
      </c>
      <c r="G7" s="100">
        <v>159151.58</v>
      </c>
    </row>
    <row r="8" spans="1:7" s="89" customFormat="1" ht="17.25" customHeight="1">
      <c r="A8" s="90"/>
      <c r="B8" s="91" t="s">
        <v>150</v>
      </c>
      <c r="C8" s="140">
        <v>411003</v>
      </c>
      <c r="D8" s="92">
        <v>3500</v>
      </c>
      <c r="E8" s="92"/>
      <c r="F8" s="92">
        <f>G8+E8</f>
        <v>6724</v>
      </c>
      <c r="G8" s="100">
        <v>6724</v>
      </c>
    </row>
    <row r="9" spans="1:7" s="94" customFormat="1" ht="17.25" customHeight="1">
      <c r="A9" s="246" t="s">
        <v>82</v>
      </c>
      <c r="B9" s="247"/>
      <c r="C9" s="105"/>
      <c r="D9" s="93">
        <f>SUM(D6:D8)</f>
        <v>212000</v>
      </c>
      <c r="E9" s="93">
        <f>SUM(E6:E8)</f>
        <v>4011.23</v>
      </c>
      <c r="F9" s="93">
        <f>SUM(F6:F8)</f>
        <v>241844.38</v>
      </c>
      <c r="G9" s="101">
        <f>SUM(G6:G8)</f>
        <v>237833.15</v>
      </c>
    </row>
    <row r="10" spans="1:7" s="89" customFormat="1" ht="17.25" customHeight="1">
      <c r="A10" s="95" t="s">
        <v>151</v>
      </c>
      <c r="B10" s="96"/>
      <c r="C10" s="140">
        <v>412000</v>
      </c>
      <c r="D10" s="92"/>
      <c r="E10" s="92"/>
      <c r="F10" s="92"/>
      <c r="G10" s="100"/>
    </row>
    <row r="11" spans="1:7" s="89" customFormat="1" ht="17.25" customHeight="1">
      <c r="A11" s="90"/>
      <c r="B11" s="91" t="s">
        <v>152</v>
      </c>
      <c r="C11" s="140">
        <v>412104</v>
      </c>
      <c r="D11" s="92">
        <v>170000</v>
      </c>
      <c r="E11" s="92">
        <v>18080</v>
      </c>
      <c r="F11" s="92">
        <f>G11+E11</f>
        <v>143140</v>
      </c>
      <c r="G11" s="100">
        <v>125060</v>
      </c>
    </row>
    <row r="12" spans="1:7" s="89" customFormat="1" ht="17.25" customHeight="1">
      <c r="A12" s="90"/>
      <c r="B12" s="91" t="s">
        <v>153</v>
      </c>
      <c r="C12" s="140">
        <v>412202</v>
      </c>
      <c r="D12" s="92">
        <v>20000</v>
      </c>
      <c r="E12" s="92">
        <v>1900</v>
      </c>
      <c r="F12" s="92">
        <f aca="true" t="shared" si="0" ref="F12:F17">G12+E12</f>
        <v>14500</v>
      </c>
      <c r="G12" s="100">
        <v>12600</v>
      </c>
    </row>
    <row r="13" spans="1:7" s="89" customFormat="1" ht="17.25" customHeight="1">
      <c r="A13" s="90"/>
      <c r="B13" s="91" t="s">
        <v>154</v>
      </c>
      <c r="C13" s="140">
        <v>412210</v>
      </c>
      <c r="D13" s="92">
        <v>10000</v>
      </c>
      <c r="E13" s="92"/>
      <c r="F13" s="92">
        <f t="shared" si="0"/>
        <v>50209</v>
      </c>
      <c r="G13" s="100">
        <v>50209</v>
      </c>
    </row>
    <row r="14" spans="1:7" s="89" customFormat="1" ht="17.25" customHeight="1">
      <c r="A14" s="90"/>
      <c r="B14" s="91" t="s">
        <v>155</v>
      </c>
      <c r="C14" s="140">
        <v>412303</v>
      </c>
      <c r="D14" s="92">
        <v>15000</v>
      </c>
      <c r="E14" s="92"/>
      <c r="F14" s="92">
        <f t="shared" si="0"/>
        <v>13200</v>
      </c>
      <c r="G14" s="100">
        <v>13200</v>
      </c>
    </row>
    <row r="15" spans="1:7" s="89" customFormat="1" ht="17.25" customHeight="1">
      <c r="A15" s="90"/>
      <c r="B15" s="91" t="s">
        <v>156</v>
      </c>
      <c r="C15" s="140">
        <v>412302</v>
      </c>
      <c r="D15" s="92">
        <v>1800</v>
      </c>
      <c r="E15" s="92"/>
      <c r="F15" s="92">
        <f t="shared" si="0"/>
        <v>1800</v>
      </c>
      <c r="G15" s="100">
        <v>1800</v>
      </c>
    </row>
    <row r="16" spans="1:7" s="89" customFormat="1" ht="17.25" customHeight="1">
      <c r="A16" s="90"/>
      <c r="B16" s="91" t="s">
        <v>157</v>
      </c>
      <c r="C16" s="140">
        <v>412301</v>
      </c>
      <c r="D16" s="92">
        <v>4000</v>
      </c>
      <c r="E16" s="92"/>
      <c r="F16" s="92">
        <f t="shared" si="0"/>
        <v>5000</v>
      </c>
      <c r="G16" s="100">
        <v>5000</v>
      </c>
    </row>
    <row r="17" spans="1:7" s="89" customFormat="1" ht="17.25" customHeight="1">
      <c r="A17" s="90"/>
      <c r="B17" s="91" t="s">
        <v>158</v>
      </c>
      <c r="C17" s="140">
        <v>412399</v>
      </c>
      <c r="D17" s="92">
        <v>0</v>
      </c>
      <c r="E17" s="92"/>
      <c r="F17" s="92">
        <f t="shared" si="0"/>
        <v>100</v>
      </c>
      <c r="G17" s="100">
        <v>100</v>
      </c>
    </row>
    <row r="18" spans="1:7" s="94" customFormat="1" ht="17.25" customHeight="1">
      <c r="A18" s="246" t="s">
        <v>82</v>
      </c>
      <c r="B18" s="247"/>
      <c r="C18" s="105"/>
      <c r="D18" s="93">
        <f>SUM(D11:D17)</f>
        <v>220800</v>
      </c>
      <c r="E18" s="93">
        <f>SUM(E11:E17)</f>
        <v>19980</v>
      </c>
      <c r="F18" s="93">
        <f>SUM(F11:F17)</f>
        <v>227949</v>
      </c>
      <c r="G18" s="101">
        <f>SUM(G11:G17)</f>
        <v>207969</v>
      </c>
    </row>
    <row r="19" spans="1:7" s="89" customFormat="1" ht="17.25" customHeight="1">
      <c r="A19" s="95" t="s">
        <v>159</v>
      </c>
      <c r="B19" s="96"/>
      <c r="C19" s="140">
        <v>413000</v>
      </c>
      <c r="D19" s="92"/>
      <c r="E19" s="92"/>
      <c r="F19" s="92"/>
      <c r="G19" s="100"/>
    </row>
    <row r="20" spans="1:7" s="89" customFormat="1" ht="17.25" customHeight="1">
      <c r="A20" s="90"/>
      <c r="B20" s="91" t="s">
        <v>160</v>
      </c>
      <c r="C20" s="140">
        <v>413002</v>
      </c>
      <c r="D20" s="92">
        <v>36000</v>
      </c>
      <c r="E20" s="92"/>
      <c r="F20" s="92">
        <f>G20+E20</f>
        <v>26000</v>
      </c>
      <c r="G20" s="100">
        <v>26000</v>
      </c>
    </row>
    <row r="21" spans="1:7" s="89" customFormat="1" ht="17.25" customHeight="1">
      <c r="A21" s="90"/>
      <c r="B21" s="91" t="s">
        <v>161</v>
      </c>
      <c r="C21" s="140">
        <v>413003</v>
      </c>
      <c r="D21" s="92">
        <v>100000</v>
      </c>
      <c r="E21" s="92"/>
      <c r="F21" s="92">
        <f>G21+E21</f>
        <v>33719.86</v>
      </c>
      <c r="G21" s="100">
        <v>33719.86</v>
      </c>
    </row>
    <row r="22" spans="1:7" s="89" customFormat="1" ht="17.25" customHeight="1">
      <c r="A22" s="245" t="s">
        <v>82</v>
      </c>
      <c r="B22" s="245"/>
      <c r="C22" s="105"/>
      <c r="D22" s="93">
        <f>SUM(D20:D21)</f>
        <v>136000</v>
      </c>
      <c r="E22" s="93">
        <f>SUM(E20:E21)</f>
        <v>0</v>
      </c>
      <c r="F22" s="93">
        <f>SUM(F20:F21)</f>
        <v>59719.86</v>
      </c>
      <c r="G22" s="101">
        <f>SUM(G20:G21)</f>
        <v>59719.86</v>
      </c>
    </row>
    <row r="23" spans="1:7" s="89" customFormat="1" ht="17.25" customHeight="1">
      <c r="A23" s="95" t="s">
        <v>162</v>
      </c>
      <c r="B23" s="96"/>
      <c r="C23" s="140">
        <v>414000</v>
      </c>
      <c r="D23" s="92">
        <v>260000</v>
      </c>
      <c r="E23" s="92"/>
      <c r="F23" s="92"/>
      <c r="G23" s="100"/>
    </row>
    <row r="24" spans="1:7" s="89" customFormat="1" ht="17.25" customHeight="1">
      <c r="A24" s="90"/>
      <c r="B24" s="91" t="s">
        <v>163</v>
      </c>
      <c r="C24" s="140">
        <v>414006</v>
      </c>
      <c r="D24" s="92">
        <v>0</v>
      </c>
      <c r="E24" s="92">
        <v>13910</v>
      </c>
      <c r="F24" s="92">
        <f>G24+E24</f>
        <v>71902</v>
      </c>
      <c r="G24" s="100">
        <v>57992</v>
      </c>
    </row>
    <row r="25" spans="1:7" s="89" customFormat="1" ht="17.25" customHeight="1">
      <c r="A25" s="90"/>
      <c r="B25" s="91" t="s">
        <v>164</v>
      </c>
      <c r="C25" s="140">
        <v>414006</v>
      </c>
      <c r="D25" s="92">
        <v>0</v>
      </c>
      <c r="E25" s="92">
        <v>31120</v>
      </c>
      <c r="F25" s="92">
        <f>G25+E25</f>
        <v>59520</v>
      </c>
      <c r="G25" s="100">
        <v>28400</v>
      </c>
    </row>
    <row r="26" spans="1:7" s="94" customFormat="1" ht="17.25" customHeight="1">
      <c r="A26" s="246" t="s">
        <v>82</v>
      </c>
      <c r="B26" s="247"/>
      <c r="C26" s="105"/>
      <c r="D26" s="93">
        <f>SUM(D23:D25)</f>
        <v>260000</v>
      </c>
      <c r="E26" s="93">
        <f>SUM(E23:E25)</f>
        <v>45030</v>
      </c>
      <c r="F26" s="93">
        <f>SUM(F23:F25)</f>
        <v>131422</v>
      </c>
      <c r="G26" s="101">
        <f>SUM(G24:G25)</f>
        <v>86392</v>
      </c>
    </row>
    <row r="27" spans="1:7" s="89" customFormat="1" ht="17.25" customHeight="1">
      <c r="A27" s="95" t="s">
        <v>165</v>
      </c>
      <c r="B27" s="96"/>
      <c r="C27" s="140">
        <v>415000</v>
      </c>
      <c r="D27" s="92"/>
      <c r="E27" s="92"/>
      <c r="F27" s="92"/>
      <c r="G27" s="100"/>
    </row>
    <row r="28" spans="1:7" s="89" customFormat="1" ht="17.25" customHeight="1">
      <c r="A28" s="90"/>
      <c r="B28" s="91" t="s">
        <v>166</v>
      </c>
      <c r="C28" s="140">
        <v>415003</v>
      </c>
      <c r="D28" s="92">
        <v>120000</v>
      </c>
      <c r="E28" s="92"/>
      <c r="F28" s="92">
        <f>G28+E28</f>
        <v>60000</v>
      </c>
      <c r="G28" s="100">
        <v>60000</v>
      </c>
    </row>
    <row r="29" spans="1:7" s="89" customFormat="1" ht="17.25" customHeight="1">
      <c r="A29" s="90"/>
      <c r="B29" s="91" t="s">
        <v>167</v>
      </c>
      <c r="C29" s="140">
        <v>415004</v>
      </c>
      <c r="D29" s="92">
        <v>150000</v>
      </c>
      <c r="E29" s="92"/>
      <c r="F29" s="92">
        <f>G29+E29</f>
        <v>40000</v>
      </c>
      <c r="G29" s="100">
        <v>40000</v>
      </c>
    </row>
    <row r="30" spans="1:7" s="89" customFormat="1" ht="17.25" customHeight="1">
      <c r="A30" s="90"/>
      <c r="B30" s="91" t="s">
        <v>168</v>
      </c>
      <c r="C30" s="140">
        <v>415999</v>
      </c>
      <c r="D30" s="92">
        <v>151200</v>
      </c>
      <c r="E30" s="92">
        <v>27600</v>
      </c>
      <c r="F30" s="92">
        <f>G30+E30</f>
        <v>109155</v>
      </c>
      <c r="G30" s="100">
        <v>81555</v>
      </c>
    </row>
    <row r="31" spans="1:7" s="94" customFormat="1" ht="17.25" customHeight="1">
      <c r="A31" s="246" t="s">
        <v>82</v>
      </c>
      <c r="B31" s="247"/>
      <c r="C31" s="105"/>
      <c r="D31" s="93">
        <f>SUM(D28:D30)</f>
        <v>421200</v>
      </c>
      <c r="E31" s="93">
        <f>SUM(E28:E30)</f>
        <v>27600</v>
      </c>
      <c r="F31" s="93">
        <f>SUM(F28:F30)</f>
        <v>209155</v>
      </c>
      <c r="G31" s="101">
        <f>SUM(G28:G30)</f>
        <v>181555</v>
      </c>
    </row>
    <row r="32" spans="1:7" s="89" customFormat="1" ht="17.25" customHeight="1">
      <c r="A32" s="95" t="s">
        <v>169</v>
      </c>
      <c r="B32" s="96"/>
      <c r="C32" s="140">
        <v>420000</v>
      </c>
      <c r="D32" s="92"/>
      <c r="E32" s="92"/>
      <c r="F32" s="92"/>
      <c r="G32" s="100"/>
    </row>
    <row r="33" spans="1:7" s="89" customFormat="1" ht="17.25" customHeight="1">
      <c r="A33" s="90"/>
      <c r="B33" s="91" t="s">
        <v>170</v>
      </c>
      <c r="C33" s="140">
        <v>421002</v>
      </c>
      <c r="D33" s="92">
        <v>4100000</v>
      </c>
      <c r="E33" s="92">
        <v>595504</v>
      </c>
      <c r="F33" s="92">
        <f>G33+E33</f>
        <v>3670084.21</v>
      </c>
      <c r="G33" s="100">
        <v>3074580.21</v>
      </c>
    </row>
    <row r="34" spans="1:7" s="89" customFormat="1" ht="17.25" customHeight="1">
      <c r="A34" s="90"/>
      <c r="B34" s="91" t="s">
        <v>171</v>
      </c>
      <c r="C34" s="140">
        <v>421004</v>
      </c>
      <c r="D34" s="92">
        <v>2000000</v>
      </c>
      <c r="E34" s="92">
        <v>149849.05</v>
      </c>
      <c r="F34" s="92">
        <f aca="true" t="shared" si="1" ref="F34:F40">G34+E34</f>
        <v>1308332.46</v>
      </c>
      <c r="G34" s="100">
        <v>1158483.41</v>
      </c>
    </row>
    <row r="35" spans="1:7" s="89" customFormat="1" ht="17.25" customHeight="1">
      <c r="A35" s="90"/>
      <c r="B35" s="91" t="s">
        <v>172</v>
      </c>
      <c r="C35" s="140">
        <v>421005</v>
      </c>
      <c r="D35" s="92">
        <v>0</v>
      </c>
      <c r="E35" s="92"/>
      <c r="F35" s="92">
        <f t="shared" si="1"/>
        <v>15524.19</v>
      </c>
      <c r="G35" s="100">
        <v>15524.19</v>
      </c>
    </row>
    <row r="36" spans="1:7" s="89" customFormat="1" ht="17.25" customHeight="1">
      <c r="A36" s="90"/>
      <c r="B36" s="91" t="s">
        <v>173</v>
      </c>
      <c r="C36" s="140">
        <v>421006</v>
      </c>
      <c r="D36" s="92">
        <v>880000</v>
      </c>
      <c r="E36" s="92">
        <v>86104.54</v>
      </c>
      <c r="F36" s="92">
        <f t="shared" si="1"/>
        <v>862594.87</v>
      </c>
      <c r="G36" s="100">
        <v>776490.33</v>
      </c>
    </row>
    <row r="37" spans="1:7" s="89" customFormat="1" ht="17.25" customHeight="1">
      <c r="A37" s="90"/>
      <c r="B37" s="91" t="s">
        <v>174</v>
      </c>
      <c r="C37" s="140">
        <v>421007</v>
      </c>
      <c r="D37" s="92">
        <v>1500000</v>
      </c>
      <c r="E37" s="92">
        <v>207399.96</v>
      </c>
      <c r="F37" s="92">
        <f t="shared" si="1"/>
        <v>1409249.6099999999</v>
      </c>
      <c r="G37" s="100">
        <v>1201849.65</v>
      </c>
    </row>
    <row r="38" spans="1:7" s="89" customFormat="1" ht="17.25" customHeight="1">
      <c r="A38" s="90"/>
      <c r="B38" s="91" t="s">
        <v>175</v>
      </c>
      <c r="C38" s="140">
        <v>421015</v>
      </c>
      <c r="D38" s="92">
        <v>520000</v>
      </c>
      <c r="E38" s="92"/>
      <c r="F38" s="92">
        <f t="shared" si="1"/>
        <v>317237</v>
      </c>
      <c r="G38" s="100">
        <v>317237</v>
      </c>
    </row>
    <row r="39" spans="1:7" s="89" customFormat="1" ht="17.25" customHeight="1">
      <c r="A39" s="90"/>
      <c r="B39" s="91" t="s">
        <v>201</v>
      </c>
      <c r="C39" s="140">
        <v>421013</v>
      </c>
      <c r="D39" s="92">
        <v>40000</v>
      </c>
      <c r="E39" s="92"/>
      <c r="F39" s="92">
        <f t="shared" si="1"/>
        <v>63142.18</v>
      </c>
      <c r="G39" s="100">
        <v>63142.18</v>
      </c>
    </row>
    <row r="40" spans="1:7" s="89" customFormat="1" ht="17.25" customHeight="1">
      <c r="A40" s="90"/>
      <c r="B40" s="91" t="s">
        <v>176</v>
      </c>
      <c r="C40" s="140">
        <v>421012</v>
      </c>
      <c r="D40" s="92">
        <v>10000</v>
      </c>
      <c r="E40" s="92"/>
      <c r="F40" s="92">
        <f t="shared" si="1"/>
        <v>11465.2</v>
      </c>
      <c r="G40" s="100">
        <v>11465.2</v>
      </c>
    </row>
    <row r="41" spans="1:7" s="94" customFormat="1" ht="17.25" customHeight="1">
      <c r="A41" s="246" t="s">
        <v>82</v>
      </c>
      <c r="B41" s="247"/>
      <c r="C41" s="105"/>
      <c r="D41" s="93">
        <f>SUM(D33:D40)</f>
        <v>9050000</v>
      </c>
      <c r="E41" s="93">
        <f>SUM(E33:E40)</f>
        <v>1038857.55</v>
      </c>
      <c r="F41" s="93">
        <f>SUM(F33:F40)</f>
        <v>7657629.72</v>
      </c>
      <c r="G41" s="101">
        <f>SUM(G33:G40)</f>
        <v>6618772.170000001</v>
      </c>
    </row>
    <row r="42" spans="1:7" s="89" customFormat="1" ht="17.25" customHeight="1">
      <c r="A42" s="95" t="s">
        <v>177</v>
      </c>
      <c r="B42" s="96"/>
      <c r="C42" s="140">
        <v>430000</v>
      </c>
      <c r="D42" s="92"/>
      <c r="E42" s="92"/>
      <c r="F42" s="92"/>
      <c r="G42" s="100"/>
    </row>
    <row r="43" spans="1:7" s="89" customFormat="1" ht="17.25" customHeight="1">
      <c r="A43" s="90"/>
      <c r="B43" s="91" t="s">
        <v>178</v>
      </c>
      <c r="C43" s="140">
        <v>431002</v>
      </c>
      <c r="D43" s="92">
        <v>12200000</v>
      </c>
      <c r="E43" s="92">
        <v>3086926</v>
      </c>
      <c r="F43" s="92">
        <f>G43+E43</f>
        <v>10594430.39</v>
      </c>
      <c r="G43" s="100">
        <v>7507504.39</v>
      </c>
    </row>
    <row r="44" spans="1:7" s="94" customFormat="1" ht="17.25" customHeight="1">
      <c r="A44" s="246" t="s">
        <v>82</v>
      </c>
      <c r="B44" s="247"/>
      <c r="C44" s="105"/>
      <c r="D44" s="93">
        <f>SUM(D43)</f>
        <v>12200000</v>
      </c>
      <c r="E44" s="93">
        <f>SUM(E43)</f>
        <v>3086926</v>
      </c>
      <c r="F44" s="93">
        <f>SUM(F43)</f>
        <v>10594430.39</v>
      </c>
      <c r="G44" s="101">
        <f>SUM(G43)</f>
        <v>7507504.39</v>
      </c>
    </row>
    <row r="45" spans="1:7" s="89" customFormat="1" ht="17.25" customHeight="1">
      <c r="A45" s="95" t="s">
        <v>179</v>
      </c>
      <c r="B45" s="96"/>
      <c r="C45" s="140">
        <v>440000</v>
      </c>
      <c r="D45" s="92"/>
      <c r="E45" s="92"/>
      <c r="F45" s="92"/>
      <c r="G45" s="100"/>
    </row>
    <row r="46" spans="1:7" s="89" customFormat="1" ht="17.25" customHeight="1">
      <c r="A46" s="90"/>
      <c r="B46" s="91" t="s">
        <v>180</v>
      </c>
      <c r="C46" s="140">
        <v>441002</v>
      </c>
      <c r="D46" s="92">
        <v>0</v>
      </c>
      <c r="E46" s="92"/>
      <c r="F46" s="92">
        <f>G46+E46</f>
        <v>146338.7</v>
      </c>
      <c r="G46" s="100">
        <v>146338.7</v>
      </c>
    </row>
    <row r="47" spans="1:7" s="89" customFormat="1" ht="17.25" customHeight="1">
      <c r="A47" s="90"/>
      <c r="B47" s="91" t="s">
        <v>181</v>
      </c>
      <c r="C47" s="140">
        <v>441001</v>
      </c>
      <c r="D47" s="92">
        <v>0</v>
      </c>
      <c r="E47" s="92">
        <v>25830</v>
      </c>
      <c r="F47" s="92">
        <f>G47+E47</f>
        <v>232470</v>
      </c>
      <c r="G47" s="100">
        <v>206640</v>
      </c>
    </row>
    <row r="48" spans="1:7" s="89" customFormat="1" ht="17.25" customHeight="1">
      <c r="A48" s="97"/>
      <c r="B48" s="98" t="s">
        <v>182</v>
      </c>
      <c r="C48" s="140">
        <v>441002</v>
      </c>
      <c r="D48" s="92">
        <v>0</v>
      </c>
      <c r="E48" s="92"/>
      <c r="F48" s="92">
        <f>G48+E48</f>
        <v>870000</v>
      </c>
      <c r="G48" s="100">
        <v>870000</v>
      </c>
    </row>
    <row r="49" spans="1:7" s="94" customFormat="1" ht="17.25" customHeight="1">
      <c r="A49" s="245" t="s">
        <v>82</v>
      </c>
      <c r="B49" s="245"/>
      <c r="C49" s="105"/>
      <c r="D49" s="93">
        <f>SUM(D46:D48)</f>
        <v>0</v>
      </c>
      <c r="E49" s="93">
        <f>SUM(E46:E48)</f>
        <v>25830</v>
      </c>
      <c r="F49" s="93">
        <f>SUM(F46:F48)</f>
        <v>1248808.7</v>
      </c>
      <c r="G49" s="101">
        <f>SUM(G46:G48)</f>
        <v>1222978.7</v>
      </c>
    </row>
    <row r="50" spans="1:7" s="82" customFormat="1" ht="21" customHeight="1" thickBot="1">
      <c r="A50" s="245" t="s">
        <v>186</v>
      </c>
      <c r="B50" s="245"/>
      <c r="C50" s="245"/>
      <c r="D50" s="138">
        <f>SUM(D9,D18,D22,D26,D31,D41,D44,D49)</f>
        <v>22500000</v>
      </c>
      <c r="E50" s="138">
        <f>SUM(E9,E18,E22,E26,E31,E41,E44,E49)</f>
        <v>4248234.78</v>
      </c>
      <c r="F50" s="138">
        <f>SUM(F9,F18,F22,F26,F31,F41,F44,F49)</f>
        <v>20370959.05</v>
      </c>
      <c r="G50" s="102">
        <f>SUM(G9,G18,G22,G26,G31,G41,G44,G49)</f>
        <v>16122724.27</v>
      </c>
    </row>
    <row r="51" spans="1:6" ht="18.75" customHeight="1" thickTop="1">
      <c r="A51" s="248" t="s">
        <v>0</v>
      </c>
      <c r="B51" s="248"/>
      <c r="C51" s="248"/>
      <c r="D51" s="248"/>
      <c r="E51" s="248"/>
      <c r="F51" s="248"/>
    </row>
    <row r="52" spans="1:6" ht="18.75" customHeight="1">
      <c r="A52" s="248" t="s">
        <v>184</v>
      </c>
      <c r="B52" s="248"/>
      <c r="C52" s="248"/>
      <c r="D52" s="248"/>
      <c r="E52" s="248"/>
      <c r="F52" s="248"/>
    </row>
    <row r="53" spans="1:6" ht="18.75" customHeight="1">
      <c r="A53" s="248" t="s">
        <v>213</v>
      </c>
      <c r="B53" s="248"/>
      <c r="C53" s="248"/>
      <c r="D53" s="248"/>
      <c r="E53" s="248"/>
      <c r="F53" s="248"/>
    </row>
    <row r="54" spans="1:7" s="81" customFormat="1" ht="18.75" customHeight="1">
      <c r="A54" s="249" t="s">
        <v>183</v>
      </c>
      <c r="B54" s="249"/>
      <c r="C54" s="83" t="s">
        <v>45</v>
      </c>
      <c r="D54" s="84" t="s">
        <v>43</v>
      </c>
      <c r="E54" s="84" t="s">
        <v>145</v>
      </c>
      <c r="F54" s="84" t="s">
        <v>146</v>
      </c>
      <c r="G54" s="99"/>
    </row>
    <row r="55" spans="1:6" s="89" customFormat="1" ht="17.25" customHeight="1">
      <c r="A55" s="86" t="s">
        <v>147</v>
      </c>
      <c r="B55" s="87"/>
      <c r="C55" s="139">
        <v>411000</v>
      </c>
      <c r="D55" s="88"/>
      <c r="E55" s="88"/>
      <c r="F55" s="88"/>
    </row>
    <row r="56" spans="1:7" s="89" customFormat="1" ht="16.5" customHeight="1">
      <c r="A56" s="90"/>
      <c r="B56" s="91" t="s">
        <v>148</v>
      </c>
      <c r="C56" s="140">
        <v>411001</v>
      </c>
      <c r="D56" s="92">
        <v>38500</v>
      </c>
      <c r="E56" s="92"/>
      <c r="F56" s="92">
        <f>G56+E56</f>
        <v>71957.57</v>
      </c>
      <c r="G56" s="92">
        <f>F6</f>
        <v>71957.57</v>
      </c>
    </row>
    <row r="57" spans="1:7" s="89" customFormat="1" ht="16.5" customHeight="1">
      <c r="A57" s="90"/>
      <c r="B57" s="91" t="s">
        <v>149</v>
      </c>
      <c r="C57" s="140">
        <v>411002</v>
      </c>
      <c r="D57" s="92">
        <v>170000</v>
      </c>
      <c r="E57" s="92">
        <v>672.84</v>
      </c>
      <c r="F57" s="92">
        <f>G57+E57</f>
        <v>163835.65</v>
      </c>
      <c r="G57" s="92">
        <f aca="true" t="shared" si="2" ref="G57:G97">F7</f>
        <v>163162.81</v>
      </c>
    </row>
    <row r="58" spans="1:7" s="89" customFormat="1" ht="16.5" customHeight="1">
      <c r="A58" s="90"/>
      <c r="B58" s="91" t="s">
        <v>150</v>
      </c>
      <c r="C58" s="140">
        <v>411003</v>
      </c>
      <c r="D58" s="92">
        <v>3500</v>
      </c>
      <c r="E58" s="92"/>
      <c r="F58" s="92">
        <f>G58+E58</f>
        <v>6724</v>
      </c>
      <c r="G58" s="92">
        <f t="shared" si="2"/>
        <v>6724</v>
      </c>
    </row>
    <row r="59" spans="1:7" s="94" customFormat="1" ht="17.25" customHeight="1">
      <c r="A59" s="246" t="s">
        <v>82</v>
      </c>
      <c r="B59" s="247"/>
      <c r="C59" s="105"/>
      <c r="D59" s="93">
        <f>SUM(D56:D58)</f>
        <v>212000</v>
      </c>
      <c r="E59" s="93">
        <f>SUM(E56:E58)</f>
        <v>672.84</v>
      </c>
      <c r="F59" s="93">
        <f>SUM(F56:F58)</f>
        <v>242517.22</v>
      </c>
      <c r="G59" s="92">
        <f t="shared" si="2"/>
        <v>241844.38</v>
      </c>
    </row>
    <row r="60" spans="1:7" s="89" customFormat="1" ht="17.25" customHeight="1">
      <c r="A60" s="95" t="s">
        <v>151</v>
      </c>
      <c r="B60" s="96"/>
      <c r="C60" s="140">
        <v>412000</v>
      </c>
      <c r="D60" s="92"/>
      <c r="E60" s="92"/>
      <c r="F60" s="92"/>
      <c r="G60" s="92">
        <f t="shared" si="2"/>
        <v>0</v>
      </c>
    </row>
    <row r="61" spans="1:7" s="89" customFormat="1" ht="16.5" customHeight="1">
      <c r="A61" s="90"/>
      <c r="B61" s="91" t="s">
        <v>152</v>
      </c>
      <c r="C61" s="140">
        <v>412104</v>
      </c>
      <c r="D61" s="92">
        <v>170000</v>
      </c>
      <c r="E61" s="92">
        <v>22020</v>
      </c>
      <c r="F61" s="92">
        <f>G61+E61</f>
        <v>165160</v>
      </c>
      <c r="G61" s="92">
        <f t="shared" si="2"/>
        <v>143140</v>
      </c>
    </row>
    <row r="62" spans="1:7" s="89" customFormat="1" ht="16.5" customHeight="1">
      <c r="A62" s="90"/>
      <c r="B62" s="91" t="s">
        <v>153</v>
      </c>
      <c r="C62" s="140">
        <v>412202</v>
      </c>
      <c r="D62" s="92">
        <v>20000</v>
      </c>
      <c r="E62" s="92">
        <v>1100</v>
      </c>
      <c r="F62" s="92">
        <f aca="true" t="shared" si="3" ref="F62:F67">G62+E62</f>
        <v>15600</v>
      </c>
      <c r="G62" s="92">
        <f t="shared" si="2"/>
        <v>14500</v>
      </c>
    </row>
    <row r="63" spans="1:7" s="89" customFormat="1" ht="16.5" customHeight="1">
      <c r="A63" s="90"/>
      <c r="B63" s="91" t="s">
        <v>154</v>
      </c>
      <c r="C63" s="140">
        <v>412210</v>
      </c>
      <c r="D63" s="92">
        <v>10000</v>
      </c>
      <c r="E63" s="92"/>
      <c r="F63" s="92">
        <f t="shared" si="3"/>
        <v>50209</v>
      </c>
      <c r="G63" s="92">
        <f t="shared" si="2"/>
        <v>50209</v>
      </c>
    </row>
    <row r="64" spans="1:7" s="89" customFormat="1" ht="16.5" customHeight="1">
      <c r="A64" s="90"/>
      <c r="B64" s="91" t="s">
        <v>155</v>
      </c>
      <c r="C64" s="140">
        <v>412303</v>
      </c>
      <c r="D64" s="92">
        <v>15000</v>
      </c>
      <c r="E64" s="92"/>
      <c r="F64" s="92">
        <f t="shared" si="3"/>
        <v>13200</v>
      </c>
      <c r="G64" s="92">
        <f t="shared" si="2"/>
        <v>13200</v>
      </c>
    </row>
    <row r="65" spans="1:7" s="89" customFormat="1" ht="16.5" customHeight="1">
      <c r="A65" s="90"/>
      <c r="B65" s="91" t="s">
        <v>156</v>
      </c>
      <c r="C65" s="140">
        <v>412302</v>
      </c>
      <c r="D65" s="92">
        <v>1800</v>
      </c>
      <c r="E65" s="92"/>
      <c r="F65" s="92">
        <f t="shared" si="3"/>
        <v>1800</v>
      </c>
      <c r="G65" s="92">
        <f t="shared" si="2"/>
        <v>1800</v>
      </c>
    </row>
    <row r="66" spans="1:7" s="89" customFormat="1" ht="16.5" customHeight="1">
      <c r="A66" s="90"/>
      <c r="B66" s="91" t="s">
        <v>157</v>
      </c>
      <c r="C66" s="140">
        <v>412301</v>
      </c>
      <c r="D66" s="92">
        <v>4000</v>
      </c>
      <c r="E66" s="92"/>
      <c r="F66" s="92">
        <f t="shared" si="3"/>
        <v>5000</v>
      </c>
      <c r="G66" s="92">
        <f t="shared" si="2"/>
        <v>5000</v>
      </c>
    </row>
    <row r="67" spans="1:7" s="89" customFormat="1" ht="16.5" customHeight="1">
      <c r="A67" s="90"/>
      <c r="B67" s="91" t="s">
        <v>158</v>
      </c>
      <c r="C67" s="140">
        <v>412399</v>
      </c>
      <c r="D67" s="92">
        <v>0</v>
      </c>
      <c r="E67" s="92"/>
      <c r="F67" s="92">
        <f t="shared" si="3"/>
        <v>100</v>
      </c>
      <c r="G67" s="92">
        <f t="shared" si="2"/>
        <v>100</v>
      </c>
    </row>
    <row r="68" spans="1:7" s="94" customFormat="1" ht="17.25" customHeight="1">
      <c r="A68" s="246" t="s">
        <v>82</v>
      </c>
      <c r="B68" s="247"/>
      <c r="C68" s="105"/>
      <c r="D68" s="93">
        <f>SUM(D61:D67)</f>
        <v>220800</v>
      </c>
      <c r="E68" s="93">
        <f>SUM(E61:E67)</f>
        <v>23120</v>
      </c>
      <c r="F68" s="93">
        <f>SUM(F61:F67)</f>
        <v>251069</v>
      </c>
      <c r="G68" s="92">
        <f t="shared" si="2"/>
        <v>227949</v>
      </c>
    </row>
    <row r="69" spans="1:7" s="89" customFormat="1" ht="16.5" customHeight="1">
      <c r="A69" s="95" t="s">
        <v>159</v>
      </c>
      <c r="B69" s="96"/>
      <c r="C69" s="140">
        <v>413000</v>
      </c>
      <c r="D69" s="92"/>
      <c r="E69" s="92"/>
      <c r="F69" s="92"/>
      <c r="G69" s="92">
        <f t="shared" si="2"/>
        <v>0</v>
      </c>
    </row>
    <row r="70" spans="1:7" s="89" customFormat="1" ht="16.5" customHeight="1">
      <c r="A70" s="90"/>
      <c r="B70" s="91" t="s">
        <v>160</v>
      </c>
      <c r="C70" s="140">
        <v>413002</v>
      </c>
      <c r="D70" s="92">
        <v>36000</v>
      </c>
      <c r="E70" s="92"/>
      <c r="F70" s="92">
        <f>G70+E70</f>
        <v>26000</v>
      </c>
      <c r="G70" s="92">
        <f t="shared" si="2"/>
        <v>26000</v>
      </c>
    </row>
    <row r="71" spans="1:7" s="89" customFormat="1" ht="16.5" customHeight="1">
      <c r="A71" s="90"/>
      <c r="B71" s="91" t="s">
        <v>161</v>
      </c>
      <c r="C71" s="140">
        <v>413003</v>
      </c>
      <c r="D71" s="92">
        <v>100000</v>
      </c>
      <c r="E71" s="92">
        <v>2767.39</v>
      </c>
      <c r="F71" s="92">
        <f>G71+E71</f>
        <v>36487.25</v>
      </c>
      <c r="G71" s="92">
        <f t="shared" si="2"/>
        <v>33719.86</v>
      </c>
    </row>
    <row r="72" spans="1:7" s="89" customFormat="1" ht="17.25" customHeight="1">
      <c r="A72" s="245" t="s">
        <v>82</v>
      </c>
      <c r="B72" s="245"/>
      <c r="C72" s="105"/>
      <c r="D72" s="93">
        <f>SUM(D70:D71)</f>
        <v>136000</v>
      </c>
      <c r="E72" s="93">
        <f>SUM(E70:E71)</f>
        <v>2767.39</v>
      </c>
      <c r="F72" s="93">
        <f>SUM(F70:F71)</f>
        <v>62487.25</v>
      </c>
      <c r="G72" s="92">
        <f t="shared" si="2"/>
        <v>59719.86</v>
      </c>
    </row>
    <row r="73" spans="1:7" s="89" customFormat="1" ht="16.5" customHeight="1">
      <c r="A73" s="95" t="s">
        <v>162</v>
      </c>
      <c r="B73" s="96"/>
      <c r="C73" s="140">
        <v>414000</v>
      </c>
      <c r="D73" s="92">
        <v>260000</v>
      </c>
      <c r="E73" s="92"/>
      <c r="F73" s="92"/>
      <c r="G73" s="92">
        <f t="shared" si="2"/>
        <v>0</v>
      </c>
    </row>
    <row r="74" spans="1:7" s="89" customFormat="1" ht="16.5" customHeight="1">
      <c r="A74" s="90"/>
      <c r="B74" s="91" t="s">
        <v>163</v>
      </c>
      <c r="C74" s="140">
        <v>414006</v>
      </c>
      <c r="D74" s="92">
        <v>0</v>
      </c>
      <c r="E74" s="92">
        <v>8575</v>
      </c>
      <c r="F74" s="92">
        <f>G74+E74</f>
        <v>80477</v>
      </c>
      <c r="G74" s="92">
        <f t="shared" si="2"/>
        <v>71902</v>
      </c>
    </row>
    <row r="75" spans="1:7" s="89" customFormat="1" ht="16.5" customHeight="1">
      <c r="A75" s="90"/>
      <c r="B75" s="91" t="s">
        <v>164</v>
      </c>
      <c r="C75" s="140">
        <v>414006</v>
      </c>
      <c r="D75" s="92">
        <v>0</v>
      </c>
      <c r="E75" s="92">
        <v>14560</v>
      </c>
      <c r="F75" s="92">
        <f>G75+E75</f>
        <v>74080</v>
      </c>
      <c r="G75" s="92">
        <f t="shared" si="2"/>
        <v>59520</v>
      </c>
    </row>
    <row r="76" spans="1:7" s="94" customFormat="1" ht="17.25" customHeight="1">
      <c r="A76" s="246" t="s">
        <v>82</v>
      </c>
      <c r="B76" s="247"/>
      <c r="C76" s="105"/>
      <c r="D76" s="93">
        <f>SUM(D73:D75)</f>
        <v>260000</v>
      </c>
      <c r="E76" s="93">
        <f>SUM(E73:E75)</f>
        <v>23135</v>
      </c>
      <c r="F76" s="93">
        <f>SUM(F73:F75)</f>
        <v>154557</v>
      </c>
      <c r="G76" s="92">
        <f t="shared" si="2"/>
        <v>131422</v>
      </c>
    </row>
    <row r="77" spans="1:7" s="89" customFormat="1" ht="15.75" customHeight="1">
      <c r="A77" s="95" t="s">
        <v>165</v>
      </c>
      <c r="B77" s="96"/>
      <c r="C77" s="140">
        <v>415000</v>
      </c>
      <c r="D77" s="92"/>
      <c r="E77" s="92"/>
      <c r="F77" s="92"/>
      <c r="G77" s="92">
        <f t="shared" si="2"/>
        <v>0</v>
      </c>
    </row>
    <row r="78" spans="1:7" s="89" customFormat="1" ht="15" customHeight="1">
      <c r="A78" s="90"/>
      <c r="B78" s="91" t="s">
        <v>166</v>
      </c>
      <c r="C78" s="140">
        <v>415003</v>
      </c>
      <c r="D78" s="92">
        <v>120000</v>
      </c>
      <c r="E78" s="92">
        <v>60000</v>
      </c>
      <c r="F78" s="92">
        <f>G78+E78</f>
        <v>120000</v>
      </c>
      <c r="G78" s="92">
        <f t="shared" si="2"/>
        <v>60000</v>
      </c>
    </row>
    <row r="79" spans="1:7" s="89" customFormat="1" ht="15" customHeight="1">
      <c r="A79" s="90"/>
      <c r="B79" s="91" t="s">
        <v>167</v>
      </c>
      <c r="C79" s="140">
        <v>415004</v>
      </c>
      <c r="D79" s="92">
        <v>150000</v>
      </c>
      <c r="E79" s="92">
        <v>33000</v>
      </c>
      <c r="F79" s="92">
        <f>G79+E79</f>
        <v>73000</v>
      </c>
      <c r="G79" s="92">
        <f t="shared" si="2"/>
        <v>40000</v>
      </c>
    </row>
    <row r="80" spans="1:7" s="89" customFormat="1" ht="15" customHeight="1">
      <c r="A80" s="90"/>
      <c r="B80" s="91" t="s">
        <v>168</v>
      </c>
      <c r="C80" s="140">
        <v>415999</v>
      </c>
      <c r="D80" s="92">
        <v>151200</v>
      </c>
      <c r="E80" s="92">
        <v>6950</v>
      </c>
      <c r="F80" s="92">
        <f>G80+E80</f>
        <v>116105</v>
      </c>
      <c r="G80" s="92">
        <f t="shared" si="2"/>
        <v>109155</v>
      </c>
    </row>
    <row r="81" spans="1:7" s="94" customFormat="1" ht="17.25" customHeight="1">
      <c r="A81" s="246" t="s">
        <v>82</v>
      </c>
      <c r="B81" s="247"/>
      <c r="C81" s="105"/>
      <c r="D81" s="93">
        <f>SUM(D78:D80)</f>
        <v>421200</v>
      </c>
      <c r="E81" s="93">
        <f>SUM(E78:E80)</f>
        <v>99950</v>
      </c>
      <c r="F81" s="93">
        <f>SUM(F78:F80)</f>
        <v>309105</v>
      </c>
      <c r="G81" s="92">
        <f t="shared" si="2"/>
        <v>209155</v>
      </c>
    </row>
    <row r="82" spans="1:7" s="89" customFormat="1" ht="16.5" customHeight="1">
      <c r="A82" s="95" t="s">
        <v>169</v>
      </c>
      <c r="B82" s="96"/>
      <c r="C82" s="140">
        <v>420000</v>
      </c>
      <c r="D82" s="92"/>
      <c r="E82" s="92"/>
      <c r="F82" s="92"/>
      <c r="G82" s="92">
        <f t="shared" si="2"/>
        <v>0</v>
      </c>
    </row>
    <row r="83" spans="1:7" s="89" customFormat="1" ht="16.5" customHeight="1">
      <c r="A83" s="90"/>
      <c r="B83" s="91" t="s">
        <v>170</v>
      </c>
      <c r="C83" s="140">
        <v>421002</v>
      </c>
      <c r="D83" s="92">
        <v>4100000</v>
      </c>
      <c r="E83" s="92">
        <v>0</v>
      </c>
      <c r="F83" s="92">
        <f>G83+E83</f>
        <v>3670084.21</v>
      </c>
      <c r="G83" s="92">
        <f t="shared" si="2"/>
        <v>3670084.21</v>
      </c>
    </row>
    <row r="84" spans="1:7" s="89" customFormat="1" ht="16.5" customHeight="1">
      <c r="A84" s="90"/>
      <c r="B84" s="91" t="s">
        <v>171</v>
      </c>
      <c r="C84" s="140">
        <v>421004</v>
      </c>
      <c r="D84" s="92">
        <v>2000000</v>
      </c>
      <c r="E84" s="92">
        <v>130541.25</v>
      </c>
      <c r="F84" s="92">
        <f aca="true" t="shared" si="4" ref="F84:F90">G84+E84</f>
        <v>1438873.71</v>
      </c>
      <c r="G84" s="92">
        <f t="shared" si="2"/>
        <v>1308332.46</v>
      </c>
    </row>
    <row r="85" spans="1:7" s="89" customFormat="1" ht="16.5" customHeight="1">
      <c r="A85" s="90"/>
      <c r="B85" s="91" t="s">
        <v>172</v>
      </c>
      <c r="C85" s="140">
        <v>421005</v>
      </c>
      <c r="D85" s="92">
        <v>0</v>
      </c>
      <c r="E85" s="92"/>
      <c r="F85" s="92">
        <f t="shared" si="4"/>
        <v>15524.19</v>
      </c>
      <c r="G85" s="92">
        <f t="shared" si="2"/>
        <v>15524.19</v>
      </c>
    </row>
    <row r="86" spans="1:7" s="89" customFormat="1" ht="16.5" customHeight="1">
      <c r="A86" s="90"/>
      <c r="B86" s="91" t="s">
        <v>173</v>
      </c>
      <c r="C86" s="140">
        <v>421006</v>
      </c>
      <c r="D86" s="92">
        <v>880000</v>
      </c>
      <c r="E86" s="92">
        <v>78915.23</v>
      </c>
      <c r="F86" s="92">
        <f t="shared" si="4"/>
        <v>941510.1</v>
      </c>
      <c r="G86" s="92">
        <f t="shared" si="2"/>
        <v>862594.87</v>
      </c>
    </row>
    <row r="87" spans="1:7" s="89" customFormat="1" ht="16.5" customHeight="1">
      <c r="A87" s="90"/>
      <c r="B87" s="91" t="s">
        <v>174</v>
      </c>
      <c r="C87" s="140">
        <v>421007</v>
      </c>
      <c r="D87" s="92">
        <v>1500000</v>
      </c>
      <c r="E87" s="92">
        <v>233809.41</v>
      </c>
      <c r="F87" s="92">
        <f t="shared" si="4"/>
        <v>1643059.0199999998</v>
      </c>
      <c r="G87" s="92">
        <f t="shared" si="2"/>
        <v>1409249.6099999999</v>
      </c>
    </row>
    <row r="88" spans="1:7" s="89" customFormat="1" ht="16.5" customHeight="1">
      <c r="A88" s="90"/>
      <c r="B88" s="91" t="s">
        <v>175</v>
      </c>
      <c r="C88" s="140">
        <v>421015</v>
      </c>
      <c r="D88" s="92">
        <v>520000</v>
      </c>
      <c r="E88" s="92"/>
      <c r="F88" s="92">
        <f t="shared" si="4"/>
        <v>317237</v>
      </c>
      <c r="G88" s="92">
        <f t="shared" si="2"/>
        <v>317237</v>
      </c>
    </row>
    <row r="89" spans="1:7" s="89" customFormat="1" ht="16.5" customHeight="1">
      <c r="A89" s="90"/>
      <c r="B89" s="91" t="s">
        <v>201</v>
      </c>
      <c r="C89" s="140">
        <v>421013</v>
      </c>
      <c r="D89" s="92">
        <v>40000</v>
      </c>
      <c r="E89" s="92"/>
      <c r="F89" s="92">
        <f t="shared" si="4"/>
        <v>63142.18</v>
      </c>
      <c r="G89" s="92">
        <f t="shared" si="2"/>
        <v>63142.18</v>
      </c>
    </row>
    <row r="90" spans="1:7" s="89" customFormat="1" ht="16.5" customHeight="1">
      <c r="A90" s="90"/>
      <c r="B90" s="91" t="s">
        <v>176</v>
      </c>
      <c r="C90" s="140">
        <v>421012</v>
      </c>
      <c r="D90" s="92">
        <v>10000</v>
      </c>
      <c r="E90" s="92"/>
      <c r="F90" s="92">
        <f t="shared" si="4"/>
        <v>11465.2</v>
      </c>
      <c r="G90" s="92">
        <f t="shared" si="2"/>
        <v>11465.2</v>
      </c>
    </row>
    <row r="91" spans="1:7" s="94" customFormat="1" ht="16.5" customHeight="1">
      <c r="A91" s="246" t="s">
        <v>82</v>
      </c>
      <c r="B91" s="247"/>
      <c r="C91" s="105"/>
      <c r="D91" s="93">
        <f>SUM(D83:D90)</f>
        <v>9050000</v>
      </c>
      <c r="E91" s="93">
        <f>SUM(E83:E90)</f>
        <v>443265.89</v>
      </c>
      <c r="F91" s="93">
        <f>SUM(F83:F90)</f>
        <v>8100895.609999999</v>
      </c>
      <c r="G91" s="92">
        <f t="shared" si="2"/>
        <v>7657629.72</v>
      </c>
    </row>
    <row r="92" spans="1:7" s="89" customFormat="1" ht="16.5" customHeight="1">
      <c r="A92" s="95" t="s">
        <v>177</v>
      </c>
      <c r="B92" s="96"/>
      <c r="C92" s="140">
        <v>430000</v>
      </c>
      <c r="D92" s="92"/>
      <c r="E92" s="92"/>
      <c r="F92" s="92"/>
      <c r="G92" s="92">
        <f t="shared" si="2"/>
        <v>0</v>
      </c>
    </row>
    <row r="93" spans="1:7" s="89" customFormat="1" ht="17.25" customHeight="1">
      <c r="A93" s="90"/>
      <c r="B93" s="91" t="s">
        <v>178</v>
      </c>
      <c r="C93" s="140">
        <v>431002</v>
      </c>
      <c r="D93" s="92">
        <v>12200000</v>
      </c>
      <c r="E93" s="92">
        <v>646219</v>
      </c>
      <c r="F93" s="92">
        <f>G93+E93</f>
        <v>11240649.39</v>
      </c>
      <c r="G93" s="92">
        <f t="shared" si="2"/>
        <v>10594430.39</v>
      </c>
    </row>
    <row r="94" spans="1:7" s="94" customFormat="1" ht="15.75" customHeight="1">
      <c r="A94" s="246" t="s">
        <v>82</v>
      </c>
      <c r="B94" s="247"/>
      <c r="C94" s="105"/>
      <c r="D94" s="93">
        <f>SUM(D93)</f>
        <v>12200000</v>
      </c>
      <c r="E94" s="93">
        <f>SUM(E93)</f>
        <v>646219</v>
      </c>
      <c r="F94" s="93">
        <f>SUM(F93)</f>
        <v>11240649.39</v>
      </c>
      <c r="G94" s="92">
        <f t="shared" si="2"/>
        <v>10594430.39</v>
      </c>
    </row>
    <row r="95" spans="1:7" s="89" customFormat="1" ht="16.5" customHeight="1">
      <c r="A95" s="95" t="s">
        <v>179</v>
      </c>
      <c r="B95" s="96"/>
      <c r="C95" s="140">
        <v>440000</v>
      </c>
      <c r="D95" s="92"/>
      <c r="E95" s="92"/>
      <c r="F95" s="92"/>
      <c r="G95" s="92">
        <f t="shared" si="2"/>
        <v>0</v>
      </c>
    </row>
    <row r="96" spans="1:7" s="89" customFormat="1" ht="16.5" customHeight="1">
      <c r="A96" s="90"/>
      <c r="B96" s="91" t="s">
        <v>180</v>
      </c>
      <c r="C96" s="140">
        <v>441002</v>
      </c>
      <c r="D96" s="92">
        <v>0</v>
      </c>
      <c r="E96" s="92"/>
      <c r="F96" s="92">
        <f>G96+E96</f>
        <v>146338.7</v>
      </c>
      <c r="G96" s="92">
        <f t="shared" si="2"/>
        <v>146338.7</v>
      </c>
    </row>
    <row r="97" spans="1:7" s="89" customFormat="1" ht="16.5" customHeight="1">
      <c r="A97" s="90"/>
      <c r="B97" s="91" t="s">
        <v>181</v>
      </c>
      <c r="C97" s="140">
        <v>441001</v>
      </c>
      <c r="D97" s="92">
        <v>0</v>
      </c>
      <c r="E97" s="92">
        <v>25830</v>
      </c>
      <c r="F97" s="92">
        <f>G97+E97</f>
        <v>258300</v>
      </c>
      <c r="G97" s="92">
        <f t="shared" si="2"/>
        <v>232470</v>
      </c>
    </row>
    <row r="98" spans="1:7" s="89" customFormat="1" ht="16.5" customHeight="1">
      <c r="A98" s="90"/>
      <c r="B98" s="91" t="s">
        <v>182</v>
      </c>
      <c r="C98" s="140">
        <v>441002</v>
      </c>
      <c r="D98" s="92">
        <v>0</v>
      </c>
      <c r="E98" s="92">
        <v>290000</v>
      </c>
      <c r="F98" s="92">
        <f>G98+E98</f>
        <v>1160000</v>
      </c>
      <c r="G98" s="92">
        <f>F48</f>
        <v>870000</v>
      </c>
    </row>
    <row r="99" spans="1:7" s="89" customFormat="1" ht="16.5" customHeight="1">
      <c r="A99" s="90"/>
      <c r="B99" s="91" t="s">
        <v>211</v>
      </c>
      <c r="C99" s="140">
        <v>441001</v>
      </c>
      <c r="D99" s="92">
        <v>0</v>
      </c>
      <c r="E99" s="92">
        <v>49500</v>
      </c>
      <c r="F99" s="92">
        <f>G99+E99</f>
        <v>49500</v>
      </c>
      <c r="G99" s="92"/>
    </row>
    <row r="100" spans="1:7" s="89" customFormat="1" ht="16.5" customHeight="1">
      <c r="A100" s="97"/>
      <c r="B100" s="98" t="s">
        <v>212</v>
      </c>
      <c r="C100" s="140">
        <v>441001</v>
      </c>
      <c r="D100" s="92">
        <v>0</v>
      </c>
      <c r="E100" s="92">
        <v>40000</v>
      </c>
      <c r="F100" s="92">
        <f>G100+E100</f>
        <v>40000</v>
      </c>
      <c r="G100" s="92"/>
    </row>
    <row r="101" spans="1:7" s="94" customFormat="1" ht="15.75" customHeight="1">
      <c r="A101" s="245" t="s">
        <v>82</v>
      </c>
      <c r="B101" s="245"/>
      <c r="C101" s="105"/>
      <c r="D101" s="93">
        <f>SUM(D96:D100)</f>
        <v>0</v>
      </c>
      <c r="E101" s="93">
        <f>SUM(E96:E100)</f>
        <v>405330</v>
      </c>
      <c r="F101" s="93">
        <f>SUM(F96:F100)</f>
        <v>1654138.7</v>
      </c>
      <c r="G101" s="92">
        <f>F49</f>
        <v>1248808.7</v>
      </c>
    </row>
    <row r="102" spans="1:9" s="82" customFormat="1" ht="19.5" customHeight="1" thickBot="1">
      <c r="A102" s="245" t="s">
        <v>186</v>
      </c>
      <c r="B102" s="245"/>
      <c r="C102" s="245"/>
      <c r="D102" s="138">
        <f>SUM(D59,D68,D72,D76,D81,D91,D94,D101)</f>
        <v>22500000</v>
      </c>
      <c r="E102" s="138">
        <f>SUM(E59,E68,E72,E76,E81,E91,E94,E101)</f>
        <v>1644460.12</v>
      </c>
      <c r="F102" s="138">
        <f>SUM(F59,F68,F72,F76,F81,F91,F94,F101)</f>
        <v>22015419.169999998</v>
      </c>
      <c r="G102" s="92">
        <f>F50</f>
        <v>20370959.05</v>
      </c>
      <c r="H102" s="250">
        <f>G102+E102</f>
        <v>22015419.17</v>
      </c>
      <c r="I102" s="251"/>
    </row>
    <row r="103" spans="1:6" ht="18.75" customHeight="1" thickTop="1">
      <c r="A103" s="248" t="s">
        <v>0</v>
      </c>
      <c r="B103" s="248"/>
      <c r="C103" s="248"/>
      <c r="D103" s="248"/>
      <c r="E103" s="248"/>
      <c r="F103" s="248"/>
    </row>
    <row r="104" spans="1:6" ht="18" customHeight="1">
      <c r="A104" s="248" t="s">
        <v>184</v>
      </c>
      <c r="B104" s="248"/>
      <c r="C104" s="248"/>
      <c r="D104" s="248"/>
      <c r="E104" s="248"/>
      <c r="F104" s="248"/>
    </row>
    <row r="105" spans="1:6" ht="18" customHeight="1">
      <c r="A105" s="248" t="s">
        <v>230</v>
      </c>
      <c r="B105" s="248"/>
      <c r="C105" s="248"/>
      <c r="D105" s="248"/>
      <c r="E105" s="248"/>
      <c r="F105" s="248"/>
    </row>
    <row r="106" spans="1:7" s="81" customFormat="1" ht="18.75" customHeight="1">
      <c r="A106" s="249" t="s">
        <v>183</v>
      </c>
      <c r="B106" s="249"/>
      <c r="C106" s="83" t="s">
        <v>45</v>
      </c>
      <c r="D106" s="84" t="s">
        <v>43</v>
      </c>
      <c r="E106" s="84" t="s">
        <v>145</v>
      </c>
      <c r="F106" s="84" t="s">
        <v>146</v>
      </c>
      <c r="G106" s="99"/>
    </row>
    <row r="107" spans="1:6" s="89" customFormat="1" ht="17.25" customHeight="1">
      <c r="A107" s="86" t="s">
        <v>147</v>
      </c>
      <c r="B107" s="87"/>
      <c r="C107" s="139">
        <v>411000</v>
      </c>
      <c r="D107" s="88"/>
      <c r="E107" s="88"/>
      <c r="F107" s="88"/>
    </row>
    <row r="108" spans="1:7" s="89" customFormat="1" ht="15.75" customHeight="1">
      <c r="A108" s="90"/>
      <c r="B108" s="91" t="s">
        <v>148</v>
      </c>
      <c r="C108" s="140">
        <v>411001</v>
      </c>
      <c r="D108" s="92">
        <v>38500</v>
      </c>
      <c r="E108" s="92"/>
      <c r="F108" s="92">
        <f>G108+E108</f>
        <v>71957.57</v>
      </c>
      <c r="G108" s="92">
        <f>F56</f>
        <v>71957.57</v>
      </c>
    </row>
    <row r="109" spans="1:7" s="89" customFormat="1" ht="15.75" customHeight="1">
      <c r="A109" s="90"/>
      <c r="B109" s="91" t="s">
        <v>149</v>
      </c>
      <c r="C109" s="140">
        <v>411002</v>
      </c>
      <c r="D109" s="92">
        <v>170000</v>
      </c>
      <c r="E109" s="92">
        <v>865.08</v>
      </c>
      <c r="F109" s="92">
        <f>G109+E109</f>
        <v>164700.72999999998</v>
      </c>
      <c r="G109" s="92">
        <f aca="true" t="shared" si="5" ref="G109:G151">F57</f>
        <v>163835.65</v>
      </c>
    </row>
    <row r="110" spans="1:7" s="89" customFormat="1" ht="15.75" customHeight="1">
      <c r="A110" s="90"/>
      <c r="B110" s="91" t="s">
        <v>150</v>
      </c>
      <c r="C110" s="140">
        <v>411003</v>
      </c>
      <c r="D110" s="92">
        <v>3500</v>
      </c>
      <c r="E110" s="92"/>
      <c r="F110" s="92">
        <f>G110+E110</f>
        <v>6724</v>
      </c>
      <c r="G110" s="92">
        <f t="shared" si="5"/>
        <v>6724</v>
      </c>
    </row>
    <row r="111" spans="1:7" s="94" customFormat="1" ht="15.75" customHeight="1">
      <c r="A111" s="246" t="s">
        <v>82</v>
      </c>
      <c r="B111" s="247"/>
      <c r="C111" s="105"/>
      <c r="D111" s="93">
        <f>SUM(D108:D110)</f>
        <v>212000</v>
      </c>
      <c r="E111" s="93">
        <f>SUM(E108:E110)</f>
        <v>865.08</v>
      </c>
      <c r="F111" s="93">
        <f>SUM(F108:F110)</f>
        <v>243382.3</v>
      </c>
      <c r="G111" s="92">
        <f t="shared" si="5"/>
        <v>242517.22</v>
      </c>
    </row>
    <row r="112" spans="1:7" s="89" customFormat="1" ht="17.25" customHeight="1">
      <c r="A112" s="95" t="s">
        <v>151</v>
      </c>
      <c r="B112" s="96"/>
      <c r="C112" s="140">
        <v>412000</v>
      </c>
      <c r="D112" s="92"/>
      <c r="E112" s="92"/>
      <c r="F112" s="92"/>
      <c r="G112" s="92">
        <f t="shared" si="5"/>
        <v>0</v>
      </c>
    </row>
    <row r="113" spans="1:7" s="89" customFormat="1" ht="15.75" customHeight="1">
      <c r="A113" s="90"/>
      <c r="B113" s="91" t="s">
        <v>152</v>
      </c>
      <c r="C113" s="140">
        <v>412104</v>
      </c>
      <c r="D113" s="92">
        <v>170000</v>
      </c>
      <c r="E113" s="92">
        <v>21260</v>
      </c>
      <c r="F113" s="92">
        <f>G113+E113</f>
        <v>186420</v>
      </c>
      <c r="G113" s="92">
        <f t="shared" si="5"/>
        <v>165160</v>
      </c>
    </row>
    <row r="114" spans="1:7" s="89" customFormat="1" ht="15.75" customHeight="1">
      <c r="A114" s="90"/>
      <c r="B114" s="91" t="s">
        <v>153</v>
      </c>
      <c r="C114" s="140">
        <v>412202</v>
      </c>
      <c r="D114" s="92">
        <v>20000</v>
      </c>
      <c r="E114" s="92">
        <v>400</v>
      </c>
      <c r="F114" s="92">
        <f aca="true" t="shared" si="6" ref="F114:F119">G114+E114</f>
        <v>16000</v>
      </c>
      <c r="G114" s="92">
        <f t="shared" si="5"/>
        <v>15600</v>
      </c>
    </row>
    <row r="115" spans="1:7" s="89" customFormat="1" ht="15.75" customHeight="1">
      <c r="A115" s="90"/>
      <c r="B115" s="91" t="s">
        <v>154</v>
      </c>
      <c r="C115" s="140">
        <v>412210</v>
      </c>
      <c r="D115" s="92">
        <v>10000</v>
      </c>
      <c r="E115" s="92">
        <v>18190</v>
      </c>
      <c r="F115" s="92">
        <f t="shared" si="6"/>
        <v>68399</v>
      </c>
      <c r="G115" s="92">
        <f t="shared" si="5"/>
        <v>50209</v>
      </c>
    </row>
    <row r="116" spans="1:7" s="89" customFormat="1" ht="15.75" customHeight="1">
      <c r="A116" s="90"/>
      <c r="B116" s="91" t="s">
        <v>155</v>
      </c>
      <c r="C116" s="140">
        <v>412303</v>
      </c>
      <c r="D116" s="92">
        <v>15000</v>
      </c>
      <c r="E116" s="92"/>
      <c r="F116" s="92">
        <f t="shared" si="6"/>
        <v>13200</v>
      </c>
      <c r="G116" s="92">
        <f t="shared" si="5"/>
        <v>13200</v>
      </c>
    </row>
    <row r="117" spans="1:7" s="89" customFormat="1" ht="15.75" customHeight="1">
      <c r="A117" s="90"/>
      <c r="B117" s="91" t="s">
        <v>156</v>
      </c>
      <c r="C117" s="140">
        <v>412302</v>
      </c>
      <c r="D117" s="92">
        <v>1800</v>
      </c>
      <c r="E117" s="92"/>
      <c r="F117" s="92">
        <f t="shared" si="6"/>
        <v>1800</v>
      </c>
      <c r="G117" s="92">
        <f t="shared" si="5"/>
        <v>1800</v>
      </c>
    </row>
    <row r="118" spans="1:7" s="89" customFormat="1" ht="15.75" customHeight="1">
      <c r="A118" s="90"/>
      <c r="B118" s="91" t="s">
        <v>157</v>
      </c>
      <c r="C118" s="140">
        <v>412301</v>
      </c>
      <c r="D118" s="92">
        <v>4000</v>
      </c>
      <c r="E118" s="92"/>
      <c r="F118" s="92">
        <f t="shared" si="6"/>
        <v>5000</v>
      </c>
      <c r="G118" s="92">
        <f t="shared" si="5"/>
        <v>5000</v>
      </c>
    </row>
    <row r="119" spans="1:7" s="89" customFormat="1" ht="15.75" customHeight="1">
      <c r="A119" s="90"/>
      <c r="B119" s="91" t="s">
        <v>158</v>
      </c>
      <c r="C119" s="140">
        <v>412399</v>
      </c>
      <c r="D119" s="92">
        <v>0</v>
      </c>
      <c r="E119" s="92"/>
      <c r="F119" s="92">
        <f t="shared" si="6"/>
        <v>100</v>
      </c>
      <c r="G119" s="92">
        <f t="shared" si="5"/>
        <v>100</v>
      </c>
    </row>
    <row r="120" spans="1:7" s="94" customFormat="1" ht="15.75" customHeight="1">
      <c r="A120" s="246" t="s">
        <v>82</v>
      </c>
      <c r="B120" s="247"/>
      <c r="C120" s="105"/>
      <c r="D120" s="93">
        <f>SUM(D113:D119)</f>
        <v>220800</v>
      </c>
      <c r="E120" s="93">
        <f>SUM(E113:E119)</f>
        <v>39850</v>
      </c>
      <c r="F120" s="93">
        <f>SUM(F113:F119)</f>
        <v>290919</v>
      </c>
      <c r="G120" s="92">
        <f t="shared" si="5"/>
        <v>251069</v>
      </c>
    </row>
    <row r="121" spans="1:7" s="89" customFormat="1" ht="16.5" customHeight="1">
      <c r="A121" s="95" t="s">
        <v>159</v>
      </c>
      <c r="B121" s="96"/>
      <c r="C121" s="140">
        <v>413000</v>
      </c>
      <c r="D121" s="92"/>
      <c r="E121" s="92"/>
      <c r="F121" s="92"/>
      <c r="G121" s="92">
        <f t="shared" si="5"/>
        <v>0</v>
      </c>
    </row>
    <row r="122" spans="1:7" s="89" customFormat="1" ht="16.5" customHeight="1">
      <c r="A122" s="90"/>
      <c r="B122" s="91" t="s">
        <v>160</v>
      </c>
      <c r="C122" s="140">
        <v>413002</v>
      </c>
      <c r="D122" s="92">
        <v>36000</v>
      </c>
      <c r="E122" s="92"/>
      <c r="F122" s="92">
        <f>G122+E122</f>
        <v>26000</v>
      </c>
      <c r="G122" s="92">
        <f t="shared" si="5"/>
        <v>26000</v>
      </c>
    </row>
    <row r="123" spans="1:7" s="89" customFormat="1" ht="16.5" customHeight="1">
      <c r="A123" s="90"/>
      <c r="B123" s="91" t="s">
        <v>161</v>
      </c>
      <c r="C123" s="140">
        <v>413003</v>
      </c>
      <c r="D123" s="92">
        <v>100000</v>
      </c>
      <c r="E123" s="92">
        <v>0</v>
      </c>
      <c r="F123" s="92">
        <f>G123+E123</f>
        <v>36487.25</v>
      </c>
      <c r="G123" s="92">
        <f t="shared" si="5"/>
        <v>36487.25</v>
      </c>
    </row>
    <row r="124" spans="1:7" s="89" customFormat="1" ht="17.25" customHeight="1">
      <c r="A124" s="245" t="s">
        <v>82</v>
      </c>
      <c r="B124" s="245"/>
      <c r="C124" s="105"/>
      <c r="D124" s="93">
        <f>SUM(D122:D123)</f>
        <v>136000</v>
      </c>
      <c r="E124" s="93">
        <f>SUM(E122:E123)</f>
        <v>0</v>
      </c>
      <c r="F124" s="93">
        <f>SUM(F122:F123)</f>
        <v>62487.25</v>
      </c>
      <c r="G124" s="92">
        <f t="shared" si="5"/>
        <v>62487.25</v>
      </c>
    </row>
    <row r="125" spans="1:7" s="89" customFormat="1" ht="16.5" customHeight="1">
      <c r="A125" s="95" t="s">
        <v>162</v>
      </c>
      <c r="B125" s="96"/>
      <c r="C125" s="140">
        <v>414000</v>
      </c>
      <c r="D125" s="92">
        <v>260000</v>
      </c>
      <c r="E125" s="92"/>
      <c r="F125" s="92"/>
      <c r="G125" s="92">
        <f t="shared" si="5"/>
        <v>0</v>
      </c>
    </row>
    <row r="126" spans="1:7" s="89" customFormat="1" ht="15.75" customHeight="1">
      <c r="A126" s="90"/>
      <c r="B126" s="91" t="s">
        <v>163</v>
      </c>
      <c r="C126" s="140">
        <v>414006</v>
      </c>
      <c r="D126" s="92">
        <v>0</v>
      </c>
      <c r="E126" s="92">
        <v>7621</v>
      </c>
      <c r="F126" s="92">
        <f>G126+E126</f>
        <v>88098</v>
      </c>
      <c r="G126" s="92">
        <f t="shared" si="5"/>
        <v>80477</v>
      </c>
    </row>
    <row r="127" spans="1:7" s="89" customFormat="1" ht="15.75" customHeight="1">
      <c r="A127" s="90"/>
      <c r="B127" s="91" t="s">
        <v>164</v>
      </c>
      <c r="C127" s="140">
        <v>414006</v>
      </c>
      <c r="D127" s="92">
        <v>0</v>
      </c>
      <c r="E127" s="92">
        <v>15330</v>
      </c>
      <c r="F127" s="92">
        <f>G127+E127</f>
        <v>89410</v>
      </c>
      <c r="G127" s="92">
        <f t="shared" si="5"/>
        <v>74080</v>
      </c>
    </row>
    <row r="128" spans="1:7" s="94" customFormat="1" ht="15.75" customHeight="1">
      <c r="A128" s="246" t="s">
        <v>82</v>
      </c>
      <c r="B128" s="247"/>
      <c r="C128" s="105"/>
      <c r="D128" s="93">
        <f>SUM(D125:D127)</f>
        <v>260000</v>
      </c>
      <c r="E128" s="93">
        <f>SUM(E125:E127)</f>
        <v>22951</v>
      </c>
      <c r="F128" s="93">
        <f>SUM(F125:F127)</f>
        <v>177508</v>
      </c>
      <c r="G128" s="92">
        <f t="shared" si="5"/>
        <v>154557</v>
      </c>
    </row>
    <row r="129" spans="1:7" s="89" customFormat="1" ht="15.75" customHeight="1">
      <c r="A129" s="95" t="s">
        <v>165</v>
      </c>
      <c r="B129" s="96"/>
      <c r="C129" s="140">
        <v>415000</v>
      </c>
      <c r="D129" s="92"/>
      <c r="E129" s="92"/>
      <c r="F129" s="92"/>
      <c r="G129" s="92">
        <f t="shared" si="5"/>
        <v>0</v>
      </c>
    </row>
    <row r="130" spans="1:7" s="89" customFormat="1" ht="15" customHeight="1">
      <c r="A130" s="90"/>
      <c r="B130" s="91" t="s">
        <v>166</v>
      </c>
      <c r="C130" s="140">
        <v>415003</v>
      </c>
      <c r="D130" s="92">
        <v>120000</v>
      </c>
      <c r="E130" s="92">
        <v>0</v>
      </c>
      <c r="F130" s="92">
        <f>G130+E130</f>
        <v>120000</v>
      </c>
      <c r="G130" s="92">
        <f t="shared" si="5"/>
        <v>120000</v>
      </c>
    </row>
    <row r="131" spans="1:7" s="89" customFormat="1" ht="15" customHeight="1">
      <c r="A131" s="90"/>
      <c r="B131" s="91" t="s">
        <v>167</v>
      </c>
      <c r="C131" s="140">
        <v>415004</v>
      </c>
      <c r="D131" s="92">
        <v>150000</v>
      </c>
      <c r="E131" s="92">
        <v>1500</v>
      </c>
      <c r="F131" s="92">
        <f>G131+E131</f>
        <v>74500</v>
      </c>
      <c r="G131" s="92">
        <f t="shared" si="5"/>
        <v>73000</v>
      </c>
    </row>
    <row r="132" spans="1:7" s="89" customFormat="1" ht="15" customHeight="1">
      <c r="A132" s="90"/>
      <c r="B132" s="91" t="s">
        <v>168</v>
      </c>
      <c r="C132" s="140">
        <v>415999</v>
      </c>
      <c r="D132" s="92">
        <v>151200</v>
      </c>
      <c r="E132" s="92">
        <v>62300</v>
      </c>
      <c r="F132" s="92">
        <f>G132+E132</f>
        <v>178405</v>
      </c>
      <c r="G132" s="92">
        <f t="shared" si="5"/>
        <v>116105</v>
      </c>
    </row>
    <row r="133" spans="1:7" s="94" customFormat="1" ht="17.25" customHeight="1">
      <c r="A133" s="246" t="s">
        <v>82</v>
      </c>
      <c r="B133" s="247"/>
      <c r="C133" s="105"/>
      <c r="D133" s="93">
        <f>SUM(D130:D132)</f>
        <v>421200</v>
      </c>
      <c r="E133" s="93">
        <f>SUM(E130:E132)</f>
        <v>63800</v>
      </c>
      <c r="F133" s="93">
        <f>SUM(F130:F132)</f>
        <v>372905</v>
      </c>
      <c r="G133" s="92">
        <f t="shared" si="5"/>
        <v>309105</v>
      </c>
    </row>
    <row r="134" spans="1:7" s="89" customFormat="1" ht="16.5" customHeight="1">
      <c r="A134" s="95" t="s">
        <v>169</v>
      </c>
      <c r="B134" s="96"/>
      <c r="C134" s="140">
        <v>420000</v>
      </c>
      <c r="D134" s="92"/>
      <c r="E134" s="92"/>
      <c r="F134" s="92"/>
      <c r="G134" s="92">
        <f t="shared" si="5"/>
        <v>0</v>
      </c>
    </row>
    <row r="135" spans="1:7" s="89" customFormat="1" ht="15.75" customHeight="1">
      <c r="A135" s="90"/>
      <c r="B135" s="91" t="s">
        <v>170</v>
      </c>
      <c r="C135" s="140">
        <v>421002</v>
      </c>
      <c r="D135" s="92">
        <v>4100000</v>
      </c>
      <c r="E135" s="92">
        <v>725232.17</v>
      </c>
      <c r="F135" s="92">
        <f>G135+E135</f>
        <v>4395316.38</v>
      </c>
      <c r="G135" s="92">
        <f t="shared" si="5"/>
        <v>3670084.21</v>
      </c>
    </row>
    <row r="136" spans="1:7" s="89" customFormat="1" ht="15.75" customHeight="1">
      <c r="A136" s="90"/>
      <c r="B136" s="91" t="s">
        <v>171</v>
      </c>
      <c r="C136" s="140">
        <v>421004</v>
      </c>
      <c r="D136" s="92">
        <v>2000000</v>
      </c>
      <c r="E136" s="92">
        <v>176951.41</v>
      </c>
      <c r="F136" s="92">
        <f aca="true" t="shared" si="7" ref="F136:F142">G136+E136</f>
        <v>1615825.1199999999</v>
      </c>
      <c r="G136" s="92">
        <f t="shared" si="5"/>
        <v>1438873.71</v>
      </c>
    </row>
    <row r="137" spans="1:7" s="89" customFormat="1" ht="15.75" customHeight="1">
      <c r="A137" s="90"/>
      <c r="B137" s="91" t="s">
        <v>172</v>
      </c>
      <c r="C137" s="140">
        <v>421005</v>
      </c>
      <c r="D137" s="92">
        <v>0</v>
      </c>
      <c r="E137" s="92"/>
      <c r="F137" s="92">
        <f t="shared" si="7"/>
        <v>15524.19</v>
      </c>
      <c r="G137" s="92">
        <f t="shared" si="5"/>
        <v>15524.19</v>
      </c>
    </row>
    <row r="138" spans="1:7" s="89" customFormat="1" ht="15.75" customHeight="1">
      <c r="A138" s="90"/>
      <c r="B138" s="91" t="s">
        <v>173</v>
      </c>
      <c r="C138" s="140">
        <v>421006</v>
      </c>
      <c r="D138" s="92">
        <v>880000</v>
      </c>
      <c r="E138" s="92">
        <v>78912.7</v>
      </c>
      <c r="F138" s="92">
        <f t="shared" si="7"/>
        <v>1020422.7999999999</v>
      </c>
      <c r="G138" s="92">
        <f t="shared" si="5"/>
        <v>941510.1</v>
      </c>
    </row>
    <row r="139" spans="1:7" s="89" customFormat="1" ht="15.75" customHeight="1">
      <c r="A139" s="90"/>
      <c r="B139" s="91" t="s">
        <v>174</v>
      </c>
      <c r="C139" s="140">
        <v>421007</v>
      </c>
      <c r="D139" s="92">
        <v>1500000</v>
      </c>
      <c r="E139" s="92">
        <v>274410.69</v>
      </c>
      <c r="F139" s="92">
        <f t="shared" si="7"/>
        <v>1917469.7099999997</v>
      </c>
      <c r="G139" s="92">
        <f t="shared" si="5"/>
        <v>1643059.0199999998</v>
      </c>
    </row>
    <row r="140" spans="1:7" s="89" customFormat="1" ht="15.75" customHeight="1">
      <c r="A140" s="90"/>
      <c r="B140" s="91" t="s">
        <v>175</v>
      </c>
      <c r="C140" s="140">
        <v>421015</v>
      </c>
      <c r="D140" s="92">
        <v>520000</v>
      </c>
      <c r="E140" s="92"/>
      <c r="F140" s="92">
        <f t="shared" si="7"/>
        <v>317237</v>
      </c>
      <c r="G140" s="92">
        <f t="shared" si="5"/>
        <v>317237</v>
      </c>
    </row>
    <row r="141" spans="1:7" s="89" customFormat="1" ht="15.75" customHeight="1">
      <c r="A141" s="90"/>
      <c r="B141" s="91" t="s">
        <v>201</v>
      </c>
      <c r="C141" s="140">
        <v>421013</v>
      </c>
      <c r="D141" s="92">
        <v>40000</v>
      </c>
      <c r="E141" s="92">
        <v>9710.49</v>
      </c>
      <c r="F141" s="92">
        <f t="shared" si="7"/>
        <v>72852.67</v>
      </c>
      <c r="G141" s="92">
        <f t="shared" si="5"/>
        <v>63142.18</v>
      </c>
    </row>
    <row r="142" spans="1:7" s="89" customFormat="1" ht="15.75" customHeight="1">
      <c r="A142" s="90"/>
      <c r="B142" s="91" t="s">
        <v>176</v>
      </c>
      <c r="C142" s="140">
        <v>421012</v>
      </c>
      <c r="D142" s="92">
        <v>10000</v>
      </c>
      <c r="E142" s="92">
        <v>6225.46</v>
      </c>
      <c r="F142" s="92">
        <f t="shared" si="7"/>
        <v>17690.66</v>
      </c>
      <c r="G142" s="92">
        <f t="shared" si="5"/>
        <v>11465.2</v>
      </c>
    </row>
    <row r="143" spans="1:7" s="94" customFormat="1" ht="15.75" customHeight="1">
      <c r="A143" s="246" t="s">
        <v>82</v>
      </c>
      <c r="B143" s="247"/>
      <c r="C143" s="105"/>
      <c r="D143" s="93">
        <f>SUM(D135:D142)</f>
        <v>9050000</v>
      </c>
      <c r="E143" s="93">
        <f>SUM(E135:E142)</f>
        <v>1271442.92</v>
      </c>
      <c r="F143" s="93">
        <f>SUM(F135:F142)</f>
        <v>9372338.53</v>
      </c>
      <c r="G143" s="92">
        <f t="shared" si="5"/>
        <v>8100895.609999999</v>
      </c>
    </row>
    <row r="144" spans="1:7" s="89" customFormat="1" ht="16.5" customHeight="1">
      <c r="A144" s="95" t="s">
        <v>177</v>
      </c>
      <c r="B144" s="96"/>
      <c r="C144" s="140">
        <v>430000</v>
      </c>
      <c r="D144" s="92"/>
      <c r="E144" s="92"/>
      <c r="F144" s="92"/>
      <c r="G144" s="92">
        <f t="shared" si="5"/>
        <v>0</v>
      </c>
    </row>
    <row r="145" spans="1:7" s="89" customFormat="1" ht="17.25" customHeight="1">
      <c r="A145" s="90"/>
      <c r="B145" s="91" t="s">
        <v>178</v>
      </c>
      <c r="C145" s="140">
        <v>431002</v>
      </c>
      <c r="D145" s="92">
        <v>12200000</v>
      </c>
      <c r="E145" s="92">
        <v>0</v>
      </c>
      <c r="F145" s="92">
        <f>G145+E145</f>
        <v>11240649.39</v>
      </c>
      <c r="G145" s="92">
        <f t="shared" si="5"/>
        <v>11240649.39</v>
      </c>
    </row>
    <row r="146" spans="1:7" s="94" customFormat="1" ht="15.75" customHeight="1">
      <c r="A146" s="246" t="s">
        <v>82</v>
      </c>
      <c r="B146" s="247"/>
      <c r="C146" s="105"/>
      <c r="D146" s="93">
        <f>SUM(D145)</f>
        <v>12200000</v>
      </c>
      <c r="E146" s="93">
        <f>SUM(E145)</f>
        <v>0</v>
      </c>
      <c r="F146" s="93">
        <f>SUM(F145)</f>
        <v>11240649.39</v>
      </c>
      <c r="G146" s="92">
        <f t="shared" si="5"/>
        <v>11240649.39</v>
      </c>
    </row>
    <row r="147" spans="1:7" s="89" customFormat="1" ht="16.5" customHeight="1">
      <c r="A147" s="95" t="s">
        <v>179</v>
      </c>
      <c r="B147" s="96"/>
      <c r="C147" s="140">
        <v>440000</v>
      </c>
      <c r="D147" s="92"/>
      <c r="E147" s="92"/>
      <c r="F147" s="92"/>
      <c r="G147" s="92">
        <f t="shared" si="5"/>
        <v>0</v>
      </c>
    </row>
    <row r="148" spans="1:7" s="89" customFormat="1" ht="16.5" customHeight="1">
      <c r="A148" s="90"/>
      <c r="B148" s="91" t="s">
        <v>180</v>
      </c>
      <c r="C148" s="140">
        <v>441002</v>
      </c>
      <c r="D148" s="92">
        <v>0</v>
      </c>
      <c r="E148" s="92"/>
      <c r="F148" s="92">
        <f aca="true" t="shared" si="8" ref="F148:F153">G148+E148</f>
        <v>146338.7</v>
      </c>
      <c r="G148" s="92">
        <f t="shared" si="5"/>
        <v>146338.7</v>
      </c>
    </row>
    <row r="149" spans="1:7" s="89" customFormat="1" ht="16.5" customHeight="1">
      <c r="A149" s="90"/>
      <c r="B149" s="91" t="s">
        <v>181</v>
      </c>
      <c r="C149" s="140">
        <v>441001</v>
      </c>
      <c r="D149" s="92">
        <v>0</v>
      </c>
      <c r="E149" s="92">
        <v>24846</v>
      </c>
      <c r="F149" s="92">
        <f t="shared" si="8"/>
        <v>283146</v>
      </c>
      <c r="G149" s="92">
        <f t="shared" si="5"/>
        <v>258300</v>
      </c>
    </row>
    <row r="150" spans="1:7" s="89" customFormat="1" ht="16.5" customHeight="1">
      <c r="A150" s="90"/>
      <c r="B150" s="91" t="s">
        <v>182</v>
      </c>
      <c r="C150" s="140">
        <v>441002</v>
      </c>
      <c r="D150" s="92">
        <v>0</v>
      </c>
      <c r="E150" s="92">
        <v>580000</v>
      </c>
      <c r="F150" s="92">
        <f t="shared" si="8"/>
        <v>1740000</v>
      </c>
      <c r="G150" s="92">
        <f t="shared" si="5"/>
        <v>1160000</v>
      </c>
    </row>
    <row r="151" spans="1:7" s="89" customFormat="1" ht="16.5" customHeight="1">
      <c r="A151" s="90"/>
      <c r="B151" s="91" t="s">
        <v>211</v>
      </c>
      <c r="C151" s="140">
        <v>441001</v>
      </c>
      <c r="D151" s="92">
        <v>0</v>
      </c>
      <c r="E151" s="92">
        <v>0</v>
      </c>
      <c r="F151" s="92">
        <f t="shared" si="8"/>
        <v>49500</v>
      </c>
      <c r="G151" s="92">
        <f t="shared" si="5"/>
        <v>49500</v>
      </c>
    </row>
    <row r="152" spans="1:7" s="89" customFormat="1" ht="16.5" customHeight="1">
      <c r="A152" s="90"/>
      <c r="B152" s="91" t="s">
        <v>212</v>
      </c>
      <c r="C152" s="140">
        <v>441001</v>
      </c>
      <c r="D152" s="92">
        <v>0</v>
      </c>
      <c r="E152" s="92">
        <v>0</v>
      </c>
      <c r="F152" s="92">
        <f t="shared" si="8"/>
        <v>40000</v>
      </c>
      <c r="G152" s="92">
        <f>F100</f>
        <v>40000</v>
      </c>
    </row>
    <row r="153" spans="1:7" s="89" customFormat="1" ht="16.5" customHeight="1">
      <c r="A153" s="97"/>
      <c r="B153" s="91" t="s">
        <v>229</v>
      </c>
      <c r="C153" s="140">
        <v>441001</v>
      </c>
      <c r="D153" s="92">
        <v>0</v>
      </c>
      <c r="E153" s="92">
        <v>184800</v>
      </c>
      <c r="F153" s="92">
        <f t="shared" si="8"/>
        <v>184800</v>
      </c>
      <c r="G153" s="92">
        <v>0</v>
      </c>
    </row>
    <row r="154" spans="1:7" s="94" customFormat="1" ht="15.75" customHeight="1">
      <c r="A154" s="245" t="s">
        <v>82</v>
      </c>
      <c r="B154" s="245"/>
      <c r="C154" s="105"/>
      <c r="D154" s="93">
        <f>SUM(D148:D153)</f>
        <v>0</v>
      </c>
      <c r="E154" s="93">
        <f>SUM(E148:E153)</f>
        <v>789646</v>
      </c>
      <c r="F154" s="93">
        <f>SUM(F148:F153)</f>
        <v>2443784.7</v>
      </c>
      <c r="G154" s="92">
        <f>F101</f>
        <v>1654138.7</v>
      </c>
    </row>
    <row r="155" spans="1:9" s="82" customFormat="1" ht="19.5" customHeight="1" thickBot="1">
      <c r="A155" s="245" t="s">
        <v>186</v>
      </c>
      <c r="B155" s="245"/>
      <c r="C155" s="245"/>
      <c r="D155" s="138">
        <f>SUM(D111,D120,D124,D128,D133,D143,D146,D154)</f>
        <v>22500000</v>
      </c>
      <c r="E155" s="138">
        <f>SUM(E111,E120,E124,E128,E133,E143,E146,E154)</f>
        <v>2188555</v>
      </c>
      <c r="F155" s="138">
        <f>SUM(F111,F120,F124,F128,F133,F143,F146,F154)</f>
        <v>24203974.169999998</v>
      </c>
      <c r="G155" s="92">
        <f>F102</f>
        <v>22015419.169999998</v>
      </c>
      <c r="H155" s="250">
        <f>G155+E155</f>
        <v>24203974.169999998</v>
      </c>
      <c r="I155" s="251"/>
    </row>
    <row r="156" spans="1:6" ht="18.75" customHeight="1" thickTop="1">
      <c r="A156" s="248" t="s">
        <v>0</v>
      </c>
      <c r="B156" s="248"/>
      <c r="C156" s="248"/>
      <c r="D156" s="248"/>
      <c r="E156" s="248"/>
      <c r="F156" s="248"/>
    </row>
    <row r="157" spans="1:6" ht="18" customHeight="1">
      <c r="A157" s="248" t="s">
        <v>184</v>
      </c>
      <c r="B157" s="248"/>
      <c r="C157" s="248"/>
      <c r="D157" s="248"/>
      <c r="E157" s="248"/>
      <c r="F157" s="248"/>
    </row>
    <row r="158" spans="1:6" ht="18" customHeight="1">
      <c r="A158" s="248" t="s">
        <v>240</v>
      </c>
      <c r="B158" s="248"/>
      <c r="C158" s="248"/>
      <c r="D158" s="248"/>
      <c r="E158" s="248"/>
      <c r="F158" s="248"/>
    </row>
    <row r="159" spans="1:7" s="81" customFormat="1" ht="18.75" customHeight="1">
      <c r="A159" s="249" t="s">
        <v>183</v>
      </c>
      <c r="B159" s="249"/>
      <c r="C159" s="83" t="s">
        <v>45</v>
      </c>
      <c r="D159" s="84" t="s">
        <v>43</v>
      </c>
      <c r="E159" s="84" t="s">
        <v>145</v>
      </c>
      <c r="F159" s="84" t="s">
        <v>146</v>
      </c>
      <c r="G159" s="99"/>
    </row>
    <row r="160" spans="1:6" s="89" customFormat="1" ht="15.75" customHeight="1">
      <c r="A160" s="86" t="s">
        <v>147</v>
      </c>
      <c r="B160" s="87"/>
      <c r="C160" s="139">
        <v>411000</v>
      </c>
      <c r="D160" s="88"/>
      <c r="E160" s="88"/>
      <c r="F160" s="88"/>
    </row>
    <row r="161" spans="1:7" s="89" customFormat="1" ht="15.75" customHeight="1">
      <c r="A161" s="146"/>
      <c r="B161" s="147" t="s">
        <v>148</v>
      </c>
      <c r="C161" s="148">
        <v>411001</v>
      </c>
      <c r="D161" s="149">
        <v>38500</v>
      </c>
      <c r="E161" s="149"/>
      <c r="F161" s="149">
        <f>G161+E161</f>
        <v>71957.57</v>
      </c>
      <c r="G161" s="92">
        <f>F108</f>
        <v>71957.57</v>
      </c>
    </row>
    <row r="162" spans="1:7" s="89" customFormat="1" ht="15.75" customHeight="1">
      <c r="A162" s="146"/>
      <c r="B162" s="147" t="s">
        <v>149</v>
      </c>
      <c r="C162" s="148">
        <v>411002</v>
      </c>
      <c r="D162" s="149">
        <v>170000</v>
      </c>
      <c r="E162" s="149">
        <v>60.52</v>
      </c>
      <c r="F162" s="149">
        <f>G162+E162</f>
        <v>164761.24999999997</v>
      </c>
      <c r="G162" s="92">
        <f>F109</f>
        <v>164700.72999999998</v>
      </c>
    </row>
    <row r="163" spans="1:7" s="89" customFormat="1" ht="15.75" customHeight="1">
      <c r="A163" s="90"/>
      <c r="B163" s="91" t="s">
        <v>150</v>
      </c>
      <c r="C163" s="140">
        <v>411003</v>
      </c>
      <c r="D163" s="92">
        <v>3500</v>
      </c>
      <c r="E163" s="92"/>
      <c r="F163" s="92">
        <f>G163+E163</f>
        <v>6724</v>
      </c>
      <c r="G163" s="92">
        <f aca="true" t="shared" si="9" ref="G163:G206">F110</f>
        <v>6724</v>
      </c>
    </row>
    <row r="164" spans="1:7" s="94" customFormat="1" ht="15.75" customHeight="1">
      <c r="A164" s="246" t="s">
        <v>82</v>
      </c>
      <c r="B164" s="247"/>
      <c r="C164" s="105"/>
      <c r="D164" s="93">
        <f>SUM(D161:D163)</f>
        <v>212000</v>
      </c>
      <c r="E164" s="93">
        <f>SUM(E161:E163)</f>
        <v>60.52</v>
      </c>
      <c r="F164" s="93">
        <f>SUM(F161:F163)</f>
        <v>243442.81999999998</v>
      </c>
      <c r="G164" s="92">
        <f>F111</f>
        <v>243382.3</v>
      </c>
    </row>
    <row r="165" spans="1:7" s="89" customFormat="1" ht="16.5" customHeight="1">
      <c r="A165" s="95" t="s">
        <v>151</v>
      </c>
      <c r="B165" s="96"/>
      <c r="C165" s="140">
        <v>412000</v>
      </c>
      <c r="D165" s="92"/>
      <c r="E165" s="92"/>
      <c r="F165" s="92"/>
      <c r="G165" s="92">
        <f t="shared" si="9"/>
        <v>0</v>
      </c>
    </row>
    <row r="166" spans="1:7" s="89" customFormat="1" ht="15.75" customHeight="1">
      <c r="A166" s="146"/>
      <c r="B166" s="147" t="s">
        <v>152</v>
      </c>
      <c r="C166" s="148">
        <v>412104</v>
      </c>
      <c r="D166" s="149">
        <v>170000</v>
      </c>
      <c r="E166" s="149">
        <v>30140</v>
      </c>
      <c r="F166" s="149">
        <f>G166+E166</f>
        <v>216560</v>
      </c>
      <c r="G166" s="92">
        <f>F113</f>
        <v>186420</v>
      </c>
    </row>
    <row r="167" spans="1:7" s="89" customFormat="1" ht="15.75" customHeight="1">
      <c r="A167" s="146"/>
      <c r="B167" s="147" t="s">
        <v>153</v>
      </c>
      <c r="C167" s="148">
        <v>412202</v>
      </c>
      <c r="D167" s="149">
        <v>20000</v>
      </c>
      <c r="E167" s="149">
        <v>1400</v>
      </c>
      <c r="F167" s="149">
        <f aca="true" t="shared" si="10" ref="F167:F172">G167+E167</f>
        <v>17400</v>
      </c>
      <c r="G167" s="92">
        <f t="shared" si="9"/>
        <v>16000</v>
      </c>
    </row>
    <row r="168" spans="1:7" s="89" customFormat="1" ht="15.75" customHeight="1">
      <c r="A168" s="146"/>
      <c r="B168" s="147" t="s">
        <v>154</v>
      </c>
      <c r="C168" s="148">
        <v>412210</v>
      </c>
      <c r="D168" s="149">
        <v>10000</v>
      </c>
      <c r="E168" s="149">
        <v>0</v>
      </c>
      <c r="F168" s="149">
        <f t="shared" si="10"/>
        <v>68399</v>
      </c>
      <c r="G168" s="92">
        <f t="shared" si="9"/>
        <v>68399</v>
      </c>
    </row>
    <row r="169" spans="1:7" s="89" customFormat="1" ht="15.75" customHeight="1">
      <c r="A169" s="146"/>
      <c r="B169" s="147" t="s">
        <v>155</v>
      </c>
      <c r="C169" s="148">
        <v>412303</v>
      </c>
      <c r="D169" s="149">
        <v>15000</v>
      </c>
      <c r="E169" s="149"/>
      <c r="F169" s="149">
        <f t="shared" si="10"/>
        <v>13200</v>
      </c>
      <c r="G169" s="92">
        <f t="shared" si="9"/>
        <v>13200</v>
      </c>
    </row>
    <row r="170" spans="1:7" s="89" customFormat="1" ht="15.75" customHeight="1">
      <c r="A170" s="146"/>
      <c r="B170" s="147" t="s">
        <v>156</v>
      </c>
      <c r="C170" s="148">
        <v>412302</v>
      </c>
      <c r="D170" s="149">
        <v>1800</v>
      </c>
      <c r="E170" s="149"/>
      <c r="F170" s="149">
        <f t="shared" si="10"/>
        <v>1800</v>
      </c>
      <c r="G170" s="92">
        <f t="shared" si="9"/>
        <v>1800</v>
      </c>
    </row>
    <row r="171" spans="1:7" s="89" customFormat="1" ht="15.75" customHeight="1">
      <c r="A171" s="146"/>
      <c r="B171" s="147" t="s">
        <v>157</v>
      </c>
      <c r="C171" s="148">
        <v>412301</v>
      </c>
      <c r="D171" s="149">
        <v>4000</v>
      </c>
      <c r="E171" s="149"/>
      <c r="F171" s="149">
        <f t="shared" si="10"/>
        <v>5000</v>
      </c>
      <c r="G171" s="92">
        <f t="shared" si="9"/>
        <v>5000</v>
      </c>
    </row>
    <row r="172" spans="1:7" s="89" customFormat="1" ht="15.75" customHeight="1">
      <c r="A172" s="90"/>
      <c r="B172" s="91" t="s">
        <v>158</v>
      </c>
      <c r="C172" s="140">
        <v>412399</v>
      </c>
      <c r="D172" s="92">
        <v>0</v>
      </c>
      <c r="E172" s="92"/>
      <c r="F172" s="92">
        <f t="shared" si="10"/>
        <v>100</v>
      </c>
      <c r="G172" s="92">
        <f t="shared" si="9"/>
        <v>100</v>
      </c>
    </row>
    <row r="173" spans="1:7" s="94" customFormat="1" ht="15.75" customHeight="1">
      <c r="A173" s="246" t="s">
        <v>82</v>
      </c>
      <c r="B173" s="247"/>
      <c r="C173" s="105"/>
      <c r="D173" s="93">
        <f>SUM(D166:D172)</f>
        <v>220800</v>
      </c>
      <c r="E173" s="93">
        <f>SUM(E166:E172)</f>
        <v>31540</v>
      </c>
      <c r="F173" s="93">
        <f>SUM(F166:F172)</f>
        <v>322459</v>
      </c>
      <c r="G173" s="92">
        <f t="shared" si="9"/>
        <v>290919</v>
      </c>
    </row>
    <row r="174" spans="1:7" s="89" customFormat="1" ht="15.75" customHeight="1">
      <c r="A174" s="95" t="s">
        <v>159</v>
      </c>
      <c r="B174" s="96"/>
      <c r="C174" s="140">
        <v>413000</v>
      </c>
      <c r="D174" s="92"/>
      <c r="E174" s="92"/>
      <c r="F174" s="92"/>
      <c r="G174" s="92">
        <f t="shared" si="9"/>
        <v>0</v>
      </c>
    </row>
    <row r="175" spans="1:7" s="89" customFormat="1" ht="16.5" customHeight="1">
      <c r="A175" s="146"/>
      <c r="B175" s="147" t="s">
        <v>160</v>
      </c>
      <c r="C175" s="148">
        <v>413002</v>
      </c>
      <c r="D175" s="149">
        <v>36000</v>
      </c>
      <c r="E175" s="149"/>
      <c r="F175" s="149">
        <f>G175+E175</f>
        <v>26000</v>
      </c>
      <c r="G175" s="92">
        <f t="shared" si="9"/>
        <v>26000</v>
      </c>
    </row>
    <row r="176" spans="1:7" s="89" customFormat="1" ht="16.5" customHeight="1">
      <c r="A176" s="90"/>
      <c r="B176" s="91" t="s">
        <v>161</v>
      </c>
      <c r="C176" s="140">
        <v>413003</v>
      </c>
      <c r="D176" s="92">
        <v>100000</v>
      </c>
      <c r="E176" s="92">
        <v>11244.93</v>
      </c>
      <c r="F176" s="92">
        <f>G176+E176</f>
        <v>47732.18</v>
      </c>
      <c r="G176" s="92">
        <f t="shared" si="9"/>
        <v>36487.25</v>
      </c>
    </row>
    <row r="177" spans="1:7" s="89" customFormat="1" ht="17.25" customHeight="1">
      <c r="A177" s="245" t="s">
        <v>82</v>
      </c>
      <c r="B177" s="245"/>
      <c r="C177" s="105"/>
      <c r="D177" s="93">
        <f>SUM(D175:D176)</f>
        <v>136000</v>
      </c>
      <c r="E177" s="93">
        <f>SUM(E175:E176)</f>
        <v>11244.93</v>
      </c>
      <c r="F177" s="93">
        <f>SUM(F175:F176)</f>
        <v>73732.18</v>
      </c>
      <c r="G177" s="92">
        <f t="shared" si="9"/>
        <v>62487.25</v>
      </c>
    </row>
    <row r="178" spans="1:7" s="89" customFormat="1" ht="15.75" customHeight="1">
      <c r="A178" s="95" t="s">
        <v>162</v>
      </c>
      <c r="B178" s="96"/>
      <c r="C178" s="140">
        <v>414000</v>
      </c>
      <c r="D178" s="92">
        <v>260000</v>
      </c>
      <c r="E178" s="92"/>
      <c r="F178" s="92"/>
      <c r="G178" s="92">
        <f t="shared" si="9"/>
        <v>0</v>
      </c>
    </row>
    <row r="179" spans="1:7" s="89" customFormat="1" ht="15.75" customHeight="1">
      <c r="A179" s="146"/>
      <c r="B179" s="147" t="s">
        <v>163</v>
      </c>
      <c r="C179" s="148">
        <v>414006</v>
      </c>
      <c r="D179" s="149">
        <v>0</v>
      </c>
      <c r="E179" s="149">
        <v>6509</v>
      </c>
      <c r="F179" s="149">
        <f>G179+E179</f>
        <v>94607</v>
      </c>
      <c r="G179" s="92">
        <f t="shared" si="9"/>
        <v>88098</v>
      </c>
    </row>
    <row r="180" spans="1:7" s="89" customFormat="1" ht="15.75" customHeight="1">
      <c r="A180" s="90"/>
      <c r="B180" s="91" t="s">
        <v>164</v>
      </c>
      <c r="C180" s="140">
        <v>414006</v>
      </c>
      <c r="D180" s="92">
        <v>0</v>
      </c>
      <c r="E180" s="92">
        <v>15490</v>
      </c>
      <c r="F180" s="92">
        <f>G180+E180</f>
        <v>104900</v>
      </c>
      <c r="G180" s="92">
        <f t="shared" si="9"/>
        <v>89410</v>
      </c>
    </row>
    <row r="181" spans="1:7" s="94" customFormat="1" ht="15" customHeight="1">
      <c r="A181" s="246" t="s">
        <v>82</v>
      </c>
      <c r="B181" s="247"/>
      <c r="C181" s="105"/>
      <c r="D181" s="93">
        <f>SUM(D178:D180)</f>
        <v>260000</v>
      </c>
      <c r="E181" s="93">
        <f>SUM(E178:E180)</f>
        <v>21999</v>
      </c>
      <c r="F181" s="93">
        <f>SUM(F178:F180)</f>
        <v>199507</v>
      </c>
      <c r="G181" s="92">
        <f t="shared" si="9"/>
        <v>177508</v>
      </c>
    </row>
    <row r="182" spans="1:7" s="89" customFormat="1" ht="15.75" customHeight="1">
      <c r="A182" s="95" t="s">
        <v>165</v>
      </c>
      <c r="B182" s="96"/>
      <c r="C182" s="140">
        <v>415000</v>
      </c>
      <c r="D182" s="92"/>
      <c r="E182" s="92"/>
      <c r="F182" s="92"/>
      <c r="G182" s="92">
        <f t="shared" si="9"/>
        <v>0</v>
      </c>
    </row>
    <row r="183" spans="1:7" s="89" customFormat="1" ht="15" customHeight="1">
      <c r="A183" s="146"/>
      <c r="B183" s="147" t="s">
        <v>166</v>
      </c>
      <c r="C183" s="148">
        <v>415003</v>
      </c>
      <c r="D183" s="149">
        <v>120000</v>
      </c>
      <c r="E183" s="149">
        <v>0</v>
      </c>
      <c r="F183" s="149">
        <f>G183+E183</f>
        <v>120000</v>
      </c>
      <c r="G183" s="92">
        <f t="shared" si="9"/>
        <v>120000</v>
      </c>
    </row>
    <row r="184" spans="1:7" s="89" customFormat="1" ht="15" customHeight="1">
      <c r="A184" s="146"/>
      <c r="B184" s="147" t="s">
        <v>167</v>
      </c>
      <c r="C184" s="148">
        <v>415004</v>
      </c>
      <c r="D184" s="149">
        <v>150000</v>
      </c>
      <c r="E184" s="149">
        <v>0</v>
      </c>
      <c r="F184" s="149">
        <f>G184+E184</f>
        <v>74500</v>
      </c>
      <c r="G184" s="92">
        <f t="shared" si="9"/>
        <v>74500</v>
      </c>
    </row>
    <row r="185" spans="1:7" s="89" customFormat="1" ht="15" customHeight="1">
      <c r="A185" s="90"/>
      <c r="B185" s="91" t="s">
        <v>168</v>
      </c>
      <c r="C185" s="140">
        <v>415999</v>
      </c>
      <c r="D185" s="92">
        <v>151200</v>
      </c>
      <c r="E185" s="92">
        <v>56700</v>
      </c>
      <c r="F185" s="92">
        <f>G185+E185</f>
        <v>235105</v>
      </c>
      <c r="G185" s="92">
        <f t="shared" si="9"/>
        <v>178405</v>
      </c>
    </row>
    <row r="186" spans="1:7" s="94" customFormat="1" ht="16.5" customHeight="1">
      <c r="A186" s="246" t="s">
        <v>82</v>
      </c>
      <c r="B186" s="247"/>
      <c r="C186" s="105"/>
      <c r="D186" s="93">
        <f>SUM(D183:D185)</f>
        <v>421200</v>
      </c>
      <c r="E186" s="93">
        <f>SUM(E183:E185)</f>
        <v>56700</v>
      </c>
      <c r="F186" s="93">
        <f>SUM(F183:F185)</f>
        <v>429605</v>
      </c>
      <c r="G186" s="92">
        <f t="shared" si="9"/>
        <v>372905</v>
      </c>
    </row>
    <row r="187" spans="1:7" s="89" customFormat="1" ht="16.5" customHeight="1">
      <c r="A187" s="95" t="s">
        <v>169</v>
      </c>
      <c r="B187" s="96"/>
      <c r="C187" s="140">
        <v>420000</v>
      </c>
      <c r="D187" s="92"/>
      <c r="E187" s="92"/>
      <c r="F187" s="92"/>
      <c r="G187" s="92">
        <f t="shared" si="9"/>
        <v>0</v>
      </c>
    </row>
    <row r="188" spans="1:7" s="89" customFormat="1" ht="15.75" customHeight="1">
      <c r="A188" s="146"/>
      <c r="B188" s="147" t="s">
        <v>170</v>
      </c>
      <c r="C188" s="148">
        <v>421002</v>
      </c>
      <c r="D188" s="149">
        <v>4100000</v>
      </c>
      <c r="E188" s="149">
        <v>0</v>
      </c>
      <c r="F188" s="149">
        <f>G188+E188</f>
        <v>4395316.38</v>
      </c>
      <c r="G188" s="92">
        <f t="shared" si="9"/>
        <v>4395316.38</v>
      </c>
    </row>
    <row r="189" spans="1:7" s="89" customFormat="1" ht="15.75" customHeight="1">
      <c r="A189" s="146"/>
      <c r="B189" s="147" t="s">
        <v>171</v>
      </c>
      <c r="C189" s="148">
        <v>421004</v>
      </c>
      <c r="D189" s="149">
        <v>2000000</v>
      </c>
      <c r="E189" s="149">
        <v>172625.3</v>
      </c>
      <c r="F189" s="149">
        <f aca="true" t="shared" si="11" ref="F189:F195">G189+E189</f>
        <v>1788450.42</v>
      </c>
      <c r="G189" s="92">
        <f t="shared" si="9"/>
        <v>1615825.1199999999</v>
      </c>
    </row>
    <row r="190" spans="1:7" s="89" customFormat="1" ht="15.75" customHeight="1">
      <c r="A190" s="146"/>
      <c r="B190" s="147" t="s">
        <v>172</v>
      </c>
      <c r="C190" s="148">
        <v>421005</v>
      </c>
      <c r="D190" s="149">
        <v>0</v>
      </c>
      <c r="E190" s="149"/>
      <c r="F190" s="149">
        <f t="shared" si="11"/>
        <v>15524.19</v>
      </c>
      <c r="G190" s="92">
        <f t="shared" si="9"/>
        <v>15524.19</v>
      </c>
    </row>
    <row r="191" spans="1:7" s="89" customFormat="1" ht="15.75" customHeight="1">
      <c r="A191" s="146"/>
      <c r="B191" s="147" t="s">
        <v>173</v>
      </c>
      <c r="C191" s="148">
        <v>421006</v>
      </c>
      <c r="D191" s="149">
        <v>880000</v>
      </c>
      <c r="E191" s="149">
        <v>73189.98</v>
      </c>
      <c r="F191" s="149">
        <f t="shared" si="11"/>
        <v>1093612.78</v>
      </c>
      <c r="G191" s="92">
        <f t="shared" si="9"/>
        <v>1020422.7999999999</v>
      </c>
    </row>
    <row r="192" spans="1:7" s="89" customFormat="1" ht="15.75" customHeight="1">
      <c r="A192" s="146"/>
      <c r="B192" s="147" t="s">
        <v>174</v>
      </c>
      <c r="C192" s="148">
        <v>421007</v>
      </c>
      <c r="D192" s="149">
        <v>1500000</v>
      </c>
      <c r="E192" s="149">
        <v>227207.31</v>
      </c>
      <c r="F192" s="149">
        <f t="shared" si="11"/>
        <v>2144677.0199999996</v>
      </c>
      <c r="G192" s="92">
        <f t="shared" si="9"/>
        <v>1917469.7099999997</v>
      </c>
    </row>
    <row r="193" spans="1:7" s="89" customFormat="1" ht="15.75" customHeight="1">
      <c r="A193" s="146"/>
      <c r="B193" s="147" t="s">
        <v>175</v>
      </c>
      <c r="C193" s="148">
        <v>421015</v>
      </c>
      <c r="D193" s="149">
        <v>520000</v>
      </c>
      <c r="E193" s="149">
        <v>424000</v>
      </c>
      <c r="F193" s="149">
        <f t="shared" si="11"/>
        <v>741237</v>
      </c>
      <c r="G193" s="92">
        <f t="shared" si="9"/>
        <v>317237</v>
      </c>
    </row>
    <row r="194" spans="1:7" s="89" customFormat="1" ht="15.75" customHeight="1">
      <c r="A194" s="146"/>
      <c r="B194" s="147" t="s">
        <v>201</v>
      </c>
      <c r="C194" s="148">
        <v>421013</v>
      </c>
      <c r="D194" s="149">
        <v>40000</v>
      </c>
      <c r="E194" s="149">
        <v>0</v>
      </c>
      <c r="F194" s="149">
        <f t="shared" si="11"/>
        <v>72852.67</v>
      </c>
      <c r="G194" s="92">
        <f t="shared" si="9"/>
        <v>72852.67</v>
      </c>
    </row>
    <row r="195" spans="1:7" s="89" customFormat="1" ht="15.75" customHeight="1">
      <c r="A195" s="90"/>
      <c r="B195" s="91" t="s">
        <v>176</v>
      </c>
      <c r="C195" s="140">
        <v>421012</v>
      </c>
      <c r="D195" s="92">
        <v>10000</v>
      </c>
      <c r="E195" s="92">
        <v>7583.6</v>
      </c>
      <c r="F195" s="92">
        <f t="shared" si="11"/>
        <v>25274.260000000002</v>
      </c>
      <c r="G195" s="92">
        <f t="shared" si="9"/>
        <v>17690.66</v>
      </c>
    </row>
    <row r="196" spans="1:7" s="94" customFormat="1" ht="15" customHeight="1">
      <c r="A196" s="246" t="s">
        <v>82</v>
      </c>
      <c r="B196" s="247"/>
      <c r="C196" s="105"/>
      <c r="D196" s="93">
        <f>SUM(D188:D195)</f>
        <v>9050000</v>
      </c>
      <c r="E196" s="93">
        <f>SUM(E188:E195)</f>
        <v>904606.19</v>
      </c>
      <c r="F196" s="93">
        <f>SUM(F188:F195)</f>
        <v>10276944.719999999</v>
      </c>
      <c r="G196" s="92">
        <f t="shared" si="9"/>
        <v>9372338.53</v>
      </c>
    </row>
    <row r="197" spans="1:7" s="89" customFormat="1" ht="15" customHeight="1">
      <c r="A197" s="95" t="s">
        <v>177</v>
      </c>
      <c r="B197" s="96"/>
      <c r="C197" s="140">
        <v>430000</v>
      </c>
      <c r="D197" s="92"/>
      <c r="E197" s="92"/>
      <c r="F197" s="92"/>
      <c r="G197" s="92">
        <f t="shared" si="9"/>
        <v>0</v>
      </c>
    </row>
    <row r="198" spans="1:7" s="89" customFormat="1" ht="15.75" customHeight="1">
      <c r="A198" s="90"/>
      <c r="B198" s="91" t="s">
        <v>178</v>
      </c>
      <c r="C198" s="140">
        <v>431002</v>
      </c>
      <c r="D198" s="92">
        <v>12200000</v>
      </c>
      <c r="E198" s="92">
        <v>0</v>
      </c>
      <c r="F198" s="92">
        <f>G198+E198</f>
        <v>11240649.39</v>
      </c>
      <c r="G198" s="92">
        <f t="shared" si="9"/>
        <v>11240649.39</v>
      </c>
    </row>
    <row r="199" spans="1:7" s="94" customFormat="1" ht="14.25" customHeight="1">
      <c r="A199" s="246" t="s">
        <v>82</v>
      </c>
      <c r="B199" s="247"/>
      <c r="C199" s="105"/>
      <c r="D199" s="93">
        <f>SUM(D198)</f>
        <v>12200000</v>
      </c>
      <c r="E199" s="93">
        <f>SUM(E198)</f>
        <v>0</v>
      </c>
      <c r="F199" s="93">
        <f>SUM(F198)</f>
        <v>11240649.39</v>
      </c>
      <c r="G199" s="92">
        <f t="shared" si="9"/>
        <v>11240649.39</v>
      </c>
    </row>
    <row r="200" spans="1:7" s="89" customFormat="1" ht="16.5" customHeight="1">
      <c r="A200" s="95" t="s">
        <v>179</v>
      </c>
      <c r="B200" s="96"/>
      <c r="C200" s="140">
        <v>440000</v>
      </c>
      <c r="D200" s="92"/>
      <c r="E200" s="92"/>
      <c r="F200" s="92"/>
      <c r="G200" s="92">
        <f t="shared" si="9"/>
        <v>0</v>
      </c>
    </row>
    <row r="201" spans="1:7" s="89" customFormat="1" ht="16.5" customHeight="1">
      <c r="A201" s="146"/>
      <c r="B201" s="147" t="s">
        <v>180</v>
      </c>
      <c r="C201" s="148">
        <v>441002</v>
      </c>
      <c r="D201" s="149">
        <v>0</v>
      </c>
      <c r="E201" s="149"/>
      <c r="F201" s="149">
        <f aca="true" t="shared" si="12" ref="F201:F206">G201+E201</f>
        <v>146338.7</v>
      </c>
      <c r="G201" s="92">
        <f t="shared" si="9"/>
        <v>146338.7</v>
      </c>
    </row>
    <row r="202" spans="1:7" s="89" customFormat="1" ht="16.5" customHeight="1">
      <c r="A202" s="146"/>
      <c r="B202" s="147" t="s">
        <v>181</v>
      </c>
      <c r="C202" s="148">
        <v>441001</v>
      </c>
      <c r="D202" s="149">
        <v>0</v>
      </c>
      <c r="E202" s="149">
        <v>25338</v>
      </c>
      <c r="F202" s="149">
        <f t="shared" si="12"/>
        <v>308484</v>
      </c>
      <c r="G202" s="92">
        <f t="shared" si="9"/>
        <v>283146</v>
      </c>
    </row>
    <row r="203" spans="1:7" s="89" customFormat="1" ht="16.5" customHeight="1">
      <c r="A203" s="146"/>
      <c r="B203" s="147" t="s">
        <v>182</v>
      </c>
      <c r="C203" s="148">
        <v>441002</v>
      </c>
      <c r="D203" s="149">
        <v>0</v>
      </c>
      <c r="E203" s="149">
        <v>0</v>
      </c>
      <c r="F203" s="149">
        <f t="shared" si="12"/>
        <v>1740000</v>
      </c>
      <c r="G203" s="92">
        <f t="shared" si="9"/>
        <v>1740000</v>
      </c>
    </row>
    <row r="204" spans="1:9" s="89" customFormat="1" ht="16.5" customHeight="1">
      <c r="A204" s="146"/>
      <c r="B204" s="147" t="s">
        <v>211</v>
      </c>
      <c r="C204" s="148">
        <v>441001</v>
      </c>
      <c r="D204" s="149">
        <v>0</v>
      </c>
      <c r="E204" s="149">
        <v>0</v>
      </c>
      <c r="F204" s="149">
        <f t="shared" si="12"/>
        <v>49500</v>
      </c>
      <c r="G204" s="92">
        <f t="shared" si="9"/>
        <v>49500</v>
      </c>
      <c r="I204" s="89">
        <f>19380+5220+738</f>
        <v>25338</v>
      </c>
    </row>
    <row r="205" spans="1:7" s="89" customFormat="1" ht="16.5" customHeight="1">
      <c r="A205" s="146"/>
      <c r="B205" s="147" t="s">
        <v>212</v>
      </c>
      <c r="C205" s="148">
        <v>441001</v>
      </c>
      <c r="D205" s="149">
        <v>0</v>
      </c>
      <c r="E205" s="149">
        <v>0</v>
      </c>
      <c r="F205" s="149">
        <f t="shared" si="12"/>
        <v>40000</v>
      </c>
      <c r="G205" s="92">
        <f t="shared" si="9"/>
        <v>40000</v>
      </c>
    </row>
    <row r="206" spans="1:7" s="89" customFormat="1" ht="16.5" customHeight="1">
      <c r="A206" s="146"/>
      <c r="B206" s="147" t="s">
        <v>229</v>
      </c>
      <c r="C206" s="148">
        <v>441001</v>
      </c>
      <c r="D206" s="149">
        <v>0</v>
      </c>
      <c r="E206" s="149">
        <v>0</v>
      </c>
      <c r="F206" s="149">
        <f t="shared" si="12"/>
        <v>184800</v>
      </c>
      <c r="G206" s="92">
        <f t="shared" si="9"/>
        <v>184800</v>
      </c>
    </row>
    <row r="207" spans="1:7" s="89" customFormat="1" ht="16.5" customHeight="1">
      <c r="A207" s="97"/>
      <c r="B207" s="91" t="s">
        <v>241</v>
      </c>
      <c r="C207" s="140">
        <v>441001</v>
      </c>
      <c r="D207" s="92">
        <v>0</v>
      </c>
      <c r="E207" s="92">
        <v>35647.85</v>
      </c>
      <c r="F207" s="92">
        <f>E207+G207</f>
        <v>35647.85</v>
      </c>
      <c r="G207" s="92">
        <v>0</v>
      </c>
    </row>
    <row r="208" spans="1:7" s="94" customFormat="1" ht="15.75" customHeight="1">
      <c r="A208" s="245" t="s">
        <v>82</v>
      </c>
      <c r="B208" s="245"/>
      <c r="C208" s="105"/>
      <c r="D208" s="93">
        <f>SUM(D201:D207)</f>
        <v>0</v>
      </c>
      <c r="E208" s="93">
        <f>SUM(E201:E207)</f>
        <v>60985.85</v>
      </c>
      <c r="F208" s="93">
        <f>SUM(F201:F207)</f>
        <v>2504770.5500000003</v>
      </c>
      <c r="G208" s="92">
        <f>F154</f>
        <v>2443784.7</v>
      </c>
    </row>
    <row r="209" spans="1:9" s="82" customFormat="1" ht="19.5" customHeight="1" thickBot="1">
      <c r="A209" s="245" t="s">
        <v>186</v>
      </c>
      <c r="B209" s="245"/>
      <c r="C209" s="245"/>
      <c r="D209" s="138">
        <f>SUM(D164,D173,D177,D181,D186,D196,D199,D208)</f>
        <v>22500000</v>
      </c>
      <c r="E209" s="138">
        <f>SUM(E164,E173,E177,E181,E186,E196,E199,E208)</f>
        <v>1087136.49</v>
      </c>
      <c r="F209" s="138">
        <f>SUM(F164,F173,F177,F181,F186,F196,F199,F208)</f>
        <v>25291110.66</v>
      </c>
      <c r="G209" s="92">
        <f>F155</f>
        <v>24203974.169999998</v>
      </c>
      <c r="H209" s="252">
        <f>F209-F208</f>
        <v>22786340.11</v>
      </c>
      <c r="I209" s="253"/>
    </row>
    <row r="210" ht="22.5" thickTop="1"/>
  </sheetData>
  <mergeCells count="55">
    <mergeCell ref="A209:C209"/>
    <mergeCell ref="H155:I155"/>
    <mergeCell ref="H209:I209"/>
    <mergeCell ref="A186:B186"/>
    <mergeCell ref="A196:B196"/>
    <mergeCell ref="A199:B199"/>
    <mergeCell ref="A208:B208"/>
    <mergeCell ref="A164:B164"/>
    <mergeCell ref="A173:B173"/>
    <mergeCell ref="A177:B177"/>
    <mergeCell ref="A181:B181"/>
    <mergeCell ref="A156:F156"/>
    <mergeCell ref="A157:F157"/>
    <mergeCell ref="A158:F158"/>
    <mergeCell ref="A159:B159"/>
    <mergeCell ref="A155:C155"/>
    <mergeCell ref="H102:I102"/>
    <mergeCell ref="A133:B133"/>
    <mergeCell ref="A143:B143"/>
    <mergeCell ref="A146:B146"/>
    <mergeCell ref="A154:B154"/>
    <mergeCell ref="A111:B111"/>
    <mergeCell ref="A120:B120"/>
    <mergeCell ref="A124:B124"/>
    <mergeCell ref="A128:B128"/>
    <mergeCell ref="A103:F103"/>
    <mergeCell ref="A104:F104"/>
    <mergeCell ref="A105:F105"/>
    <mergeCell ref="A106:B106"/>
    <mergeCell ref="A26:B26"/>
    <mergeCell ref="A50:C50"/>
    <mergeCell ref="A31:B31"/>
    <mergeCell ref="A41:B41"/>
    <mergeCell ref="A44:B44"/>
    <mergeCell ref="A49:B49"/>
    <mergeCell ref="A1:F1"/>
    <mergeCell ref="A2:F2"/>
    <mergeCell ref="A3:F3"/>
    <mergeCell ref="A22:B22"/>
    <mergeCell ref="A4:B4"/>
    <mergeCell ref="A9:B9"/>
    <mergeCell ref="A18:B18"/>
    <mergeCell ref="A51:F51"/>
    <mergeCell ref="A52:F52"/>
    <mergeCell ref="A53:F53"/>
    <mergeCell ref="A54:B54"/>
    <mergeCell ref="A59:B59"/>
    <mergeCell ref="A68:B68"/>
    <mergeCell ref="A72:B72"/>
    <mergeCell ref="A76:B76"/>
    <mergeCell ref="A102:C102"/>
    <mergeCell ref="A81:B81"/>
    <mergeCell ref="A91:B91"/>
    <mergeCell ref="A94:B94"/>
    <mergeCell ref="A101:B101"/>
  </mergeCells>
  <printOptions/>
  <pageMargins left="0.2" right="0.14" top="0.12" bottom="0.2" header="0.29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arena</dc:creator>
  <cp:keywords/>
  <dc:description/>
  <cp:lastModifiedBy>DUDE_V5_FINAL</cp:lastModifiedBy>
  <cp:lastPrinted>2010-07-14T04:54:43Z</cp:lastPrinted>
  <dcterms:created xsi:type="dcterms:W3CDTF">2004-03-04T08:30:12Z</dcterms:created>
  <dcterms:modified xsi:type="dcterms:W3CDTF">2010-08-24T07:46:49Z</dcterms:modified>
  <cp:category/>
  <cp:version/>
  <cp:contentType/>
  <cp:contentStatus/>
</cp:coreProperties>
</file>